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60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Frederik/Dropbox/GÜ Vorstand/1 Finanzen/2015-Rumpfjahr/"/>
    </mc:Choice>
  </mc:AlternateContent>
  <bookViews>
    <workbookView xWindow="0" yWindow="460" windowWidth="28800" windowHeight="17460"/>
  </bookViews>
  <sheets>
    <sheet name="Spenden Grafik" sheetId="6" r:id="rId1"/>
    <sheet name="Spenden E-A-V" sheetId="2" r:id="rId2"/>
    <sheet name="Mitglieder V" sheetId="1" r:id="rId3"/>
  </sheets>
  <definedNames>
    <definedName name="_Druckbereich" localSheetId="2">'Mitglieder V'!$A$1:$O$11</definedName>
  </definedName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W12" i="1" l="1"/>
  <c r="W8" i="1"/>
  <c r="W9" i="1"/>
  <c r="V8" i="1"/>
  <c r="V7" i="1"/>
  <c r="V6" i="1"/>
  <c r="V5" i="1"/>
  <c r="U26" i="2"/>
  <c r="U21" i="2"/>
  <c r="V29" i="2"/>
  <c r="U4" i="2"/>
  <c r="U10" i="2"/>
  <c r="V33" i="2"/>
  <c r="U33" i="2"/>
  <c r="U36" i="2"/>
  <c r="V34" i="2"/>
  <c r="U34" i="2"/>
  <c r="U12" i="1"/>
  <c r="U8" i="1"/>
  <c r="U9" i="1"/>
  <c r="T8" i="1"/>
  <c r="T7" i="1"/>
  <c r="T6" i="1"/>
  <c r="T5" i="1"/>
  <c r="T34" i="2"/>
  <c r="S34" i="2"/>
  <c r="S33" i="2"/>
  <c r="S4" i="2"/>
  <c r="S26" i="2"/>
  <c r="S36" i="2"/>
  <c r="T33" i="2"/>
  <c r="T29" i="2"/>
  <c r="S21" i="2"/>
  <c r="S10" i="2"/>
  <c r="S12" i="1"/>
  <c r="S8" i="1"/>
  <c r="Q8" i="1"/>
  <c r="R8" i="1"/>
  <c r="R7" i="1"/>
  <c r="P32" i="2"/>
  <c r="Q24" i="2"/>
  <c r="Q31" i="2"/>
  <c r="Q32" i="2"/>
  <c r="Q12" i="2"/>
  <c r="Q6" i="2"/>
  <c r="Q21" i="2"/>
  <c r="Q4" i="2"/>
  <c r="Q10" i="2"/>
  <c r="Q26" i="2"/>
  <c r="R32" i="2"/>
  <c r="S9" i="1"/>
  <c r="R6" i="1"/>
  <c r="R5" i="1"/>
  <c r="Q12" i="1"/>
  <c r="O12" i="1"/>
  <c r="L12" i="1"/>
  <c r="P29" i="2"/>
  <c r="O23" i="2"/>
  <c r="J31" i="2"/>
  <c r="L31" i="2"/>
  <c r="N31" i="2"/>
  <c r="N32" i="2"/>
  <c r="O24" i="2"/>
  <c r="O21" i="2"/>
  <c r="O12" i="2"/>
  <c r="O6" i="2"/>
  <c r="P33" i="2"/>
  <c r="M12" i="2"/>
  <c r="M10" i="2"/>
  <c r="O10" i="2"/>
  <c r="O4" i="2"/>
  <c r="L34" i="2"/>
  <c r="G29" i="2"/>
  <c r="H29" i="2"/>
  <c r="I29" i="2"/>
  <c r="K29" i="2"/>
  <c r="M29" i="2"/>
  <c r="J30" i="2"/>
  <c r="L30" i="2"/>
  <c r="N30" i="2"/>
  <c r="H32" i="2"/>
  <c r="I24" i="2"/>
  <c r="I21" i="2"/>
  <c r="F34" i="2"/>
  <c r="D32" i="2"/>
  <c r="D33" i="2"/>
  <c r="B34" i="2"/>
  <c r="E31" i="2"/>
  <c r="F35" i="2"/>
  <c r="E30" i="2"/>
  <c r="E29" i="2"/>
  <c r="G30" i="2"/>
  <c r="G31" i="2"/>
  <c r="G32" i="2"/>
  <c r="G24" i="2"/>
  <c r="G21" i="2"/>
  <c r="I32" i="2"/>
  <c r="I10" i="2"/>
  <c r="K32" i="2"/>
  <c r="K10" i="2"/>
  <c r="M32" i="2"/>
  <c r="M22" i="2"/>
  <c r="M23" i="2"/>
  <c r="I7" i="1"/>
  <c r="L7" i="1"/>
  <c r="G6" i="1"/>
  <c r="I6" i="1"/>
  <c r="L6" i="1"/>
  <c r="O6" i="1"/>
  <c r="P6" i="1"/>
  <c r="F5" i="1"/>
  <c r="I5" i="1"/>
  <c r="L5" i="1"/>
  <c r="O5" i="1"/>
  <c r="P5" i="1"/>
  <c r="F8" i="1"/>
  <c r="G8" i="1"/>
  <c r="B8" i="1"/>
  <c r="B9" i="1"/>
  <c r="H9" i="1"/>
  <c r="E7" i="1"/>
  <c r="E8" i="1"/>
  <c r="E9" i="1"/>
  <c r="D6" i="1"/>
  <c r="D9" i="1"/>
  <c r="G9" i="1"/>
  <c r="I26" i="2"/>
  <c r="G10" i="2"/>
  <c r="I8" i="1"/>
  <c r="J29" i="2"/>
  <c r="L29" i="2"/>
  <c r="N29" i="2"/>
  <c r="O29" i="2"/>
  <c r="E33" i="2"/>
  <c r="D34" i="2"/>
  <c r="E34" i="2"/>
  <c r="G26" i="2"/>
  <c r="E32" i="2"/>
  <c r="J32" i="2"/>
  <c r="K24" i="2"/>
  <c r="K21" i="2"/>
  <c r="K26" i="2"/>
  <c r="L8" i="1"/>
  <c r="O7" i="1"/>
  <c r="M6" i="2"/>
  <c r="L32" i="2"/>
  <c r="M24" i="2"/>
  <c r="M21" i="2"/>
  <c r="M26" i="2"/>
  <c r="H33" i="2"/>
  <c r="F9" i="1"/>
  <c r="I9" i="1"/>
  <c r="O26" i="2"/>
  <c r="O31" i="2"/>
  <c r="O32" i="2"/>
  <c r="O8" i="1"/>
  <c r="O9" i="1"/>
  <c r="Q9" i="1"/>
  <c r="J33" i="2"/>
  <c r="I33" i="2"/>
  <c r="I36" i="2"/>
  <c r="G34" i="2"/>
  <c r="H34" i="2"/>
  <c r="G33" i="2"/>
  <c r="G36" i="2"/>
  <c r="N33" i="2"/>
  <c r="O33" i="2"/>
  <c r="O36" i="2"/>
  <c r="N8" i="1"/>
  <c r="I34" i="2"/>
  <c r="J34" i="2"/>
  <c r="K34" i="2"/>
  <c r="K33" i="2"/>
  <c r="K36" i="2"/>
  <c r="M34" i="2"/>
  <c r="N34" i="2"/>
  <c r="M33" i="2"/>
  <c r="M36" i="2"/>
  <c r="P34" i="2"/>
  <c r="O34" i="2"/>
  <c r="R33" i="2"/>
  <c r="Q33" i="2"/>
  <c r="Q36" i="2"/>
  <c r="R34" i="2"/>
  <c r="Q34" i="2"/>
  <c r="Q29" i="2"/>
</calcChain>
</file>

<file path=xl/comments1.xml><?xml version="1.0" encoding="utf-8"?>
<comments xmlns="http://schemas.openxmlformats.org/spreadsheetml/2006/main">
  <authors>
    <author>Frederik Schorr</author>
    <author>Schorr Frederik</author>
    <author>Ein Microsoft Office-Anwender</author>
  </authors>
  <commentList>
    <comment ref="M4" authorId="0">
      <text>
        <r>
          <rPr>
            <b/>
            <sz val="9"/>
            <color indexed="81"/>
            <rFont val="Tahoma"/>
            <family val="2"/>
          </rPr>
          <t>Frederik Schorr:</t>
        </r>
        <r>
          <rPr>
            <sz val="9"/>
            <color indexed="81"/>
            <rFont val="Tahoma"/>
            <family val="2"/>
          </rPr>
          <t xml:space="preserve">
Gemäss Kontoauszug</t>
        </r>
      </text>
    </comment>
    <comment ref="O6" authorId="0">
      <text>
        <r>
          <rPr>
            <b/>
            <sz val="9"/>
            <color indexed="81"/>
            <rFont val="Tahoma"/>
            <family val="2"/>
          </rPr>
          <t>Frederik Schorr:</t>
        </r>
        <r>
          <rPr>
            <sz val="9"/>
            <color indexed="81"/>
            <rFont val="Tahoma"/>
            <family val="2"/>
          </rPr>
          <t xml:space="preserve">
Inkl. €752 Spenden umgerechnet aus 3254 RON</t>
        </r>
      </text>
    </comment>
    <comment ref="Q6" authorId="1">
      <text>
        <r>
          <rPr>
            <b/>
            <sz val="9"/>
            <color indexed="81"/>
            <rFont val="Tahoma"/>
            <family val="2"/>
          </rPr>
          <t>Schorr Frederik:</t>
        </r>
        <r>
          <rPr>
            <sz val="9"/>
            <color indexed="81"/>
            <rFont val="Tahoma"/>
            <family val="2"/>
          </rPr>
          <t xml:space="preserve">
Inkl. 19RON = €4,48 Spende während Reise</t>
        </r>
      </text>
    </comment>
    <comment ref="O12" authorId="0">
      <text>
        <r>
          <rPr>
            <b/>
            <sz val="9"/>
            <color indexed="81"/>
            <rFont val="Tahoma"/>
            <family val="2"/>
          </rPr>
          <t>Frederik Schorr:</t>
        </r>
        <r>
          <rPr>
            <sz val="9"/>
            <color indexed="81"/>
            <rFont val="Tahoma"/>
            <family val="2"/>
          </rPr>
          <t xml:space="preserve">
Inkl. -482 RON</t>
        </r>
      </text>
    </comment>
    <comment ref="Q12" authorId="1">
      <text>
        <r>
          <rPr>
            <b/>
            <sz val="9"/>
            <color indexed="81"/>
            <rFont val="Tahoma"/>
            <family val="2"/>
          </rPr>
          <t>Schorr Frederik:</t>
        </r>
        <r>
          <rPr>
            <sz val="9"/>
            <color indexed="81"/>
            <rFont val="Tahoma"/>
            <family val="2"/>
          </rPr>
          <t xml:space="preserve">
davon €6.980 Weihnachtsreise Dez 2013
davon €4.498 Herbstreise Okt 2014
sowie -€1,8 Währungsumrechnungen </t>
        </r>
      </text>
    </comment>
    <comment ref="U21" authorId="2">
      <text>
        <r>
          <rPr>
            <b/>
            <sz val="10"/>
            <color indexed="81"/>
            <rFont val="Calibri"/>
          </rPr>
          <t>Barbara+Fredi: Ausgeglichen am 10.1.2016</t>
        </r>
      </text>
    </comment>
    <comment ref="C34" authorId="0">
      <text>
        <r>
          <rPr>
            <b/>
            <sz val="9"/>
            <color indexed="81"/>
            <rFont val="Arial"/>
            <family val="2"/>
          </rPr>
          <t>Frederik Schorr:</t>
        </r>
        <r>
          <rPr>
            <sz val="9"/>
            <color indexed="81"/>
            <rFont val="Arial"/>
            <family val="2"/>
          </rPr>
          <t xml:space="preserve">
Diese Zeile (mit weisser Schrift) wird nur für Grafik benötigt</t>
        </r>
      </text>
    </comment>
  </commentList>
</comments>
</file>

<file path=xl/comments2.xml><?xml version="1.0" encoding="utf-8"?>
<comments xmlns="http://schemas.openxmlformats.org/spreadsheetml/2006/main">
  <authors>
    <author>Ein Microsoft Office-Anwender</author>
  </authors>
  <commentList>
    <comment ref="P5" authorId="0">
      <text>
        <r>
          <rPr>
            <sz val="9"/>
            <color indexed="81"/>
            <rFont val="Arial"/>
            <family val="2"/>
          </rPr>
          <t xml:space="preserve">barbara: a.o. posten 2012/13:
Homepage EUR 750,-
Visitenkaren 111,10
korr Stip 1200,-
</t>
        </r>
      </text>
    </comment>
  </commentList>
</comments>
</file>

<file path=xl/sharedStrings.xml><?xml version="1.0" encoding="utf-8"?>
<sst xmlns="http://schemas.openxmlformats.org/spreadsheetml/2006/main" count="93" uniqueCount="74">
  <si>
    <t xml:space="preserve">Wechselkurs 1 EUR = </t>
    <phoneticPr fontId="24" type="noConversion"/>
  </si>
  <si>
    <t>Vermögen</t>
    <phoneticPr fontId="24" type="noConversion"/>
  </si>
  <si>
    <t>Spendenvermögen</t>
    <phoneticPr fontId="24" type="noConversion"/>
  </si>
  <si>
    <t>RON Cash</t>
    <phoneticPr fontId="24" type="noConversion"/>
  </si>
  <si>
    <t>3,48</t>
    <phoneticPr fontId="24" type="noConversion"/>
  </si>
  <si>
    <t>3,8</t>
    <phoneticPr fontId="24" type="noConversion"/>
  </si>
  <si>
    <t>4,22</t>
    <phoneticPr fontId="24" type="noConversion"/>
  </si>
  <si>
    <t>4,23</t>
    <phoneticPr fontId="24" type="noConversion"/>
  </si>
  <si>
    <t>Kontrolle</t>
    <phoneticPr fontId="24" type="noConversion"/>
  </si>
  <si>
    <t>EUR Cash</t>
    <phoneticPr fontId="24" type="noConversion"/>
  </si>
  <si>
    <t>Nov 2010- Okt2011</t>
    <phoneticPr fontId="24" type="noConversion"/>
  </si>
  <si>
    <t>Nov 2009-Okt 2010</t>
    <phoneticPr fontId="24" type="noConversion"/>
  </si>
  <si>
    <t>Nov 2011-Okt 2012</t>
    <phoneticPr fontId="24" type="noConversion"/>
  </si>
  <si>
    <t>Nov 2008-Okt 2009</t>
    <phoneticPr fontId="24" type="noConversion"/>
  </si>
  <si>
    <t>31.Okt 2011</t>
    <phoneticPr fontId="24" type="noConversion"/>
  </si>
  <si>
    <t>31.Okt 2010</t>
    <phoneticPr fontId="24" type="noConversion"/>
  </si>
  <si>
    <t>31.Okt 2009</t>
    <phoneticPr fontId="24" type="noConversion"/>
  </si>
  <si>
    <t>31.Ok 2008</t>
    <phoneticPr fontId="24" type="noConversion"/>
  </si>
  <si>
    <t>31.Okt 2007</t>
    <phoneticPr fontId="24" type="noConversion"/>
  </si>
  <si>
    <t>31.Okt 2012</t>
    <phoneticPr fontId="24" type="noConversion"/>
  </si>
  <si>
    <t>Grenzen Überschreiten - SPENDEN - Einnahmen-Ausgaben &amp; Vermögen</t>
    <phoneticPr fontId="24" type="noConversion"/>
  </si>
  <si>
    <t>4,54</t>
    <phoneticPr fontId="24" type="noConversion"/>
  </si>
  <si>
    <t>Stipendien</t>
    <phoneticPr fontId="24" type="noConversion"/>
  </si>
  <si>
    <t>Wechselspesen</t>
    <phoneticPr fontId="24" type="noConversion"/>
  </si>
  <si>
    <t>Finanzergebnis</t>
    <phoneticPr fontId="24" type="noConversion"/>
  </si>
  <si>
    <t>Habenzinsen</t>
    <phoneticPr fontId="24" type="noConversion"/>
  </si>
  <si>
    <t>Kursgewinn/verlust</t>
    <phoneticPr fontId="24" type="noConversion"/>
  </si>
  <si>
    <t>Spendeneinnahmen</t>
    <phoneticPr fontId="24" type="noConversion"/>
  </si>
  <si>
    <t>Spendenausgaben</t>
    <phoneticPr fontId="24" type="noConversion"/>
  </si>
  <si>
    <t>Einnahmen-Ausgaben</t>
    <phoneticPr fontId="24" type="noConversion"/>
  </si>
  <si>
    <t>Mitgliedsbeitragskonto</t>
  </si>
  <si>
    <t>Vermögen Mitgliedsbeiträge in EUR</t>
  </si>
  <si>
    <t>Zugang</t>
  </si>
  <si>
    <t>Abgang</t>
  </si>
  <si>
    <t xml:space="preserve">   in EUR </t>
  </si>
  <si>
    <t xml:space="preserve"> </t>
  </si>
  <si>
    <t>Wechselkurs</t>
  </si>
  <si>
    <t>1 : 3,48</t>
  </si>
  <si>
    <t>1 : 3,8</t>
  </si>
  <si>
    <t>1 : 4,22</t>
  </si>
  <si>
    <t>1 : 4,23</t>
  </si>
  <si>
    <t>1 : 4,54</t>
  </si>
  <si>
    <t>Stipendien</t>
  </si>
  <si>
    <t>Bosanci Familien</t>
  </si>
  <si>
    <t>Suceava Strassenkinder</t>
  </si>
  <si>
    <t>Bosanci Center</t>
  </si>
  <si>
    <t>Falticeni</t>
  </si>
  <si>
    <t>Weihnachtspakete Ergänzung</t>
    <phoneticPr fontId="24" type="noConversion"/>
  </si>
  <si>
    <t>Kontoführung</t>
    <phoneticPr fontId="24" type="noConversion"/>
  </si>
  <si>
    <t>Zahlende Mitglieder</t>
    <phoneticPr fontId="24" type="noConversion"/>
  </si>
  <si>
    <t>Nov 2012-Okt 2013</t>
  </si>
  <si>
    <t>31.Okt 2013</t>
  </si>
  <si>
    <t>IST</t>
  </si>
  <si>
    <t>Delta</t>
  </si>
  <si>
    <t>GÜ SPENDEN Einnahmen-Ausgaben &amp; Vermögen</t>
  </si>
  <si>
    <t>GÜ MITGLIEDS-BEITRAGS-KONTO Vermögen</t>
  </si>
  <si>
    <t>Jahres-Gesamt-Ergebnis</t>
  </si>
  <si>
    <t>Cash Mitgliedsbeiträge in EUR</t>
  </si>
  <si>
    <t>Cash Mitgliedsbeiträge in RON</t>
  </si>
  <si>
    <t>Abdeckung neg Fin.Ergeb</t>
  </si>
  <si>
    <t>Nov 2013-Okt 2014</t>
  </si>
  <si>
    <t>31.Okt 2014</t>
  </si>
  <si>
    <t>Nov 2014-
Okt 2015</t>
  </si>
  <si>
    <t>Flüchtlinge Dauerspenden</t>
  </si>
  <si>
    <t>Flüchtlinge Einmalspenden</t>
  </si>
  <si>
    <t>Rumänien Aktionen</t>
  </si>
  <si>
    <t>Flüchtlinge Miete</t>
  </si>
  <si>
    <t>Flüchtlinge Investition</t>
  </si>
  <si>
    <t>Mieteinnahmen</t>
  </si>
  <si>
    <t>Spendenkonten</t>
  </si>
  <si>
    <t>31.Okt 2015</t>
  </si>
  <si>
    <t>Nov 2015-
Dez 2015</t>
  </si>
  <si>
    <t>31.Dez 2015</t>
  </si>
  <si>
    <t>Einmalspenden Rumänien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</si>
</sst>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_ ;[Red]\-#,##0.00\ "/>
    <numFmt numFmtId="165" formatCode="#,##0.0_ ;[Red]\-#,##0.0\ "/>
    <numFmt numFmtId="166" formatCode="#,##0_ ;[Red]\-#,##0\ "/>
    <numFmt numFmtId="167" formatCode="0.000"/>
  </numFmts>
  <fonts count="4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9"/>
      <color indexed="81"/>
      <name val="Arial"/>
      <family val="2"/>
    </font>
    <font>
      <b/>
      <sz val="9"/>
      <color indexed="8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4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b/>
      <i/>
      <sz val="10"/>
      <color theme="1" tint="0.14999847407452621"/>
      <name val="Arial"/>
      <family val="2"/>
    </font>
    <font>
      <i/>
      <sz val="10"/>
      <color theme="1" tint="0.1499984740745262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color rgb="FFFF0000"/>
      <name val="Arial"/>
      <family val="2"/>
    </font>
    <font>
      <sz val="10"/>
      <color theme="0" tint="-0.14999847407452621"/>
      <name val="Arial"/>
      <family val="2"/>
    </font>
    <font>
      <b/>
      <sz val="10"/>
      <color indexed="81"/>
      <name val="Calibri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20" borderId="0" applyNumberFormat="0" applyBorder="0" applyAlignment="0" applyProtection="0"/>
    <xf numFmtId="0" fontId="14" fillId="21" borderId="12" applyNumberFormat="0" applyAlignment="0" applyProtection="0"/>
    <xf numFmtId="0" fontId="15" fillId="21" borderId="13" applyNumberFormat="0" applyAlignment="0" applyProtection="0"/>
    <xf numFmtId="0" fontId="13" fillId="8" borderId="13" applyNumberFormat="0" applyAlignment="0" applyProtection="0"/>
    <xf numFmtId="0" fontId="21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0" fillId="5" borderId="0" applyNumberFormat="0" applyBorder="0" applyAlignment="0" applyProtection="0"/>
    <xf numFmtId="0" fontId="12" fillId="22" borderId="0" applyNumberFormat="0" applyBorder="0" applyAlignment="0" applyProtection="0"/>
    <xf numFmtId="0" fontId="19" fillId="23" borderId="15" applyNumberFormat="0" applyFont="0" applyAlignment="0" applyProtection="0"/>
    <xf numFmtId="0" fontId="11" fillId="4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16" applyNumberFormat="0" applyFill="0" applyAlignment="0" applyProtection="0"/>
    <xf numFmtId="0" fontId="8" fillId="0" borderId="17" applyNumberFormat="0" applyFill="0" applyAlignment="0" applyProtection="0"/>
    <xf numFmtId="0" fontId="9" fillId="0" borderId="18" applyNumberFormat="0" applyFill="0" applyAlignment="0" applyProtection="0"/>
    <xf numFmtId="0" fontId="9" fillId="0" borderId="0" applyNumberFormat="0" applyFill="0" applyBorder="0" applyAlignment="0" applyProtection="0"/>
    <xf numFmtId="0" fontId="16" fillId="0" borderId="19" applyNumberFormat="0" applyFill="0" applyAlignment="0" applyProtection="0"/>
    <xf numFmtId="0" fontId="18" fillId="0" borderId="0" applyNumberFormat="0" applyFill="0" applyBorder="0" applyAlignment="0" applyProtection="0"/>
    <xf numFmtId="0" fontId="17" fillId="24" borderId="20" applyNumberFormat="0" applyAlignment="0" applyProtection="0"/>
    <xf numFmtId="9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103">
    <xf numFmtId="0" fontId="0" fillId="0" borderId="0" xfId="0"/>
    <xf numFmtId="0" fontId="0" fillId="2" borderId="0" xfId="0" applyFill="1"/>
    <xf numFmtId="0" fontId="4" fillId="2" borderId="0" xfId="0" applyFont="1" applyFill="1"/>
    <xf numFmtId="0" fontId="25" fillId="0" borderId="0" xfId="0" applyFont="1"/>
    <xf numFmtId="0" fontId="3" fillId="0" borderId="0" xfId="0" applyFont="1"/>
    <xf numFmtId="0" fontId="4" fillId="0" borderId="0" xfId="0" applyFont="1"/>
    <xf numFmtId="0" fontId="26" fillId="0" borderId="0" xfId="0" applyFont="1"/>
    <xf numFmtId="0" fontId="0" fillId="0" borderId="0" xfId="0" applyFill="1" applyBorder="1"/>
    <xf numFmtId="3" fontId="25" fillId="0" borderId="0" xfId="0" applyNumberFormat="1" applyFont="1" applyAlignment="1">
      <alignment horizontal="right" wrapText="1"/>
    </xf>
    <xf numFmtId="0" fontId="27" fillId="0" borderId="0" xfId="0" applyFont="1"/>
    <xf numFmtId="0" fontId="5" fillId="0" borderId="0" xfId="0" applyFont="1"/>
    <xf numFmtId="0" fontId="27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right"/>
    </xf>
    <xf numFmtId="0" fontId="27" fillId="0" borderId="0" xfId="0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3" fontId="25" fillId="0" borderId="1" xfId="0" applyNumberFormat="1" applyFont="1" applyBorder="1" applyAlignment="1">
      <alignment horizontal="right" wrapText="1"/>
    </xf>
    <xf numFmtId="165" fontId="27" fillId="0" borderId="0" xfId="0" applyNumberFormat="1" applyFont="1" applyFill="1" applyBorder="1"/>
    <xf numFmtId="3" fontId="25" fillId="0" borderId="0" xfId="0" applyNumberFormat="1" applyFont="1" applyBorder="1" applyAlignment="1">
      <alignment horizontal="right" wrapText="1"/>
    </xf>
    <xf numFmtId="3" fontId="25" fillId="0" borderId="0" xfId="0" applyNumberFormat="1" applyFont="1"/>
    <xf numFmtId="3" fontId="25" fillId="0" borderId="0" xfId="0" applyNumberFormat="1" applyFont="1" applyFill="1" applyBorder="1"/>
    <xf numFmtId="3" fontId="25" fillId="0" borderId="2" xfId="0" applyNumberFormat="1" applyFont="1" applyFill="1" applyBorder="1"/>
    <xf numFmtId="3" fontId="27" fillId="0" borderId="0" xfId="0" applyNumberFormat="1" applyFont="1"/>
    <xf numFmtId="3" fontId="1" fillId="0" borderId="0" xfId="0" applyNumberFormat="1" applyFont="1" applyFill="1" applyBorder="1"/>
    <xf numFmtId="3" fontId="1" fillId="0" borderId="2" xfId="0" applyNumberFormat="1" applyFont="1" applyFill="1" applyBorder="1"/>
    <xf numFmtId="3" fontId="4" fillId="0" borderId="2" xfId="0" applyNumberFormat="1" applyFont="1" applyFill="1" applyBorder="1"/>
    <xf numFmtId="3" fontId="5" fillId="0" borderId="0" xfId="0" applyNumberFormat="1" applyFont="1"/>
    <xf numFmtId="3" fontId="5" fillId="0" borderId="0" xfId="0" applyNumberFormat="1" applyFont="1" applyBorder="1"/>
    <xf numFmtId="3" fontId="5" fillId="0" borderId="2" xfId="0" applyNumberFormat="1" applyFont="1" applyBorder="1"/>
    <xf numFmtId="3" fontId="27" fillId="0" borderId="0" xfId="0" applyNumberFormat="1" applyFont="1" applyBorder="1"/>
    <xf numFmtId="3" fontId="27" fillId="0" borderId="2" xfId="0" applyNumberFormat="1" applyFont="1" applyBorder="1"/>
    <xf numFmtId="3" fontId="25" fillId="0" borderId="1" xfId="0" applyNumberFormat="1" applyFont="1" applyFill="1" applyBorder="1" applyAlignment="1">
      <alignment horizontal="right"/>
    </xf>
    <xf numFmtId="3" fontId="25" fillId="0" borderId="0" xfId="0" applyNumberFormat="1" applyFont="1" applyAlignment="1">
      <alignment horizontal="right"/>
    </xf>
    <xf numFmtId="3" fontId="5" fillId="0" borderId="2" xfId="0" applyNumberFormat="1" applyFont="1" applyFill="1" applyBorder="1"/>
    <xf numFmtId="3" fontId="4" fillId="0" borderId="0" xfId="0" applyNumberFormat="1" applyFont="1" applyFill="1" applyBorder="1"/>
    <xf numFmtId="0" fontId="26" fillId="2" borderId="0" xfId="0" applyFont="1" applyFill="1"/>
    <xf numFmtId="0" fontId="4" fillId="0" borderId="0" xfId="0" applyFont="1" applyFill="1" applyBorder="1" applyAlignment="1">
      <alignment horizontal="left"/>
    </xf>
    <xf numFmtId="3" fontId="32" fillId="0" borderId="1" xfId="0" applyNumberFormat="1" applyFont="1" applyBorder="1" applyAlignment="1">
      <alignment horizontal="right" wrapText="1"/>
    </xf>
    <xf numFmtId="0" fontId="33" fillId="0" borderId="0" xfId="0" applyFont="1"/>
    <xf numFmtId="0" fontId="33" fillId="0" borderId="0" xfId="0" applyFont="1" applyFill="1" applyBorder="1"/>
    <xf numFmtId="3" fontId="25" fillId="0" borderId="0" xfId="0" applyNumberFormat="1" applyFont="1" applyFill="1" applyBorder="1" applyAlignment="1">
      <alignment horizontal="right"/>
    </xf>
    <xf numFmtId="3" fontId="32" fillId="0" borderId="1" xfId="0" quotePrefix="1" applyNumberFormat="1" applyFont="1" applyFill="1" applyBorder="1" applyAlignment="1">
      <alignment horizontal="right"/>
    </xf>
    <xf numFmtId="0" fontId="25" fillId="0" borderId="0" xfId="0" applyFont="1" applyAlignment="1">
      <alignment horizontal="center"/>
    </xf>
    <xf numFmtId="9" fontId="4" fillId="0" borderId="0" xfId="43" applyFont="1" applyAlignment="1">
      <alignment horizontal="left"/>
    </xf>
    <xf numFmtId="3" fontId="25" fillId="0" borderId="0" xfId="0" applyNumberFormat="1" applyFont="1" applyFill="1"/>
    <xf numFmtId="3" fontId="27" fillId="0" borderId="0" xfId="0" applyNumberFormat="1" applyFont="1" applyFill="1"/>
    <xf numFmtId="0" fontId="0" fillId="0" borderId="0" xfId="0" applyFont="1"/>
    <xf numFmtId="0" fontId="5" fillId="0" borderId="0" xfId="0" applyFont="1" applyAlignment="1">
      <alignment horizontal="left" indent="1"/>
    </xf>
    <xf numFmtId="167" fontId="4" fillId="0" borderId="0" xfId="0" applyNumberFormat="1" applyFont="1" applyFill="1" applyBorder="1" applyAlignment="1">
      <alignment horizontal="right"/>
    </xf>
    <xf numFmtId="0" fontId="1" fillId="2" borderId="0" xfId="0" applyFont="1" applyFill="1"/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/>
    <xf numFmtId="166" fontId="4" fillId="2" borderId="0" xfId="0" applyNumberFormat="1" applyFont="1" applyFill="1" applyBorder="1"/>
    <xf numFmtId="49" fontId="4" fillId="2" borderId="0" xfId="0" applyNumberFormat="1" applyFont="1" applyFill="1" applyAlignment="1">
      <alignment horizontal="right"/>
    </xf>
    <xf numFmtId="3" fontId="25" fillId="25" borderId="3" xfId="0" applyNumberFormat="1" applyFont="1" applyFill="1" applyBorder="1"/>
    <xf numFmtId="3" fontId="25" fillId="26" borderId="0" xfId="0" applyNumberFormat="1" applyFont="1" applyFill="1" applyBorder="1"/>
    <xf numFmtId="3" fontId="25" fillId="26" borderId="3" xfId="0" applyNumberFormat="1" applyFont="1" applyFill="1" applyBorder="1"/>
    <xf numFmtId="0" fontId="25" fillId="26" borderId="0" xfId="0" applyFont="1" applyFill="1"/>
    <xf numFmtId="0" fontId="25" fillId="25" borderId="0" xfId="0" applyFont="1" applyFill="1" applyBorder="1"/>
    <xf numFmtId="0" fontId="1" fillId="0" borderId="0" xfId="0" applyFont="1" applyFill="1"/>
    <xf numFmtId="14" fontId="34" fillId="2" borderId="5" xfId="0" applyNumberFormat="1" applyFont="1" applyFill="1" applyBorder="1" applyAlignment="1">
      <alignment horizontal="center"/>
    </xf>
    <xf numFmtId="0" fontId="25" fillId="2" borderId="0" xfId="0" applyFont="1" applyFill="1"/>
    <xf numFmtId="0" fontId="35" fillId="0" borderId="0" xfId="0" applyFont="1"/>
    <xf numFmtId="0" fontId="36" fillId="2" borderId="0" xfId="0" applyFont="1" applyFill="1"/>
    <xf numFmtId="0" fontId="37" fillId="2" borderId="4" xfId="0" applyFont="1" applyFill="1" applyBorder="1"/>
    <xf numFmtId="14" fontId="37" fillId="2" borderId="5" xfId="0" applyNumberFormat="1" applyFont="1" applyFill="1" applyBorder="1" applyAlignment="1">
      <alignment horizontal="center"/>
    </xf>
    <xf numFmtId="14" fontId="38" fillId="2" borderId="5" xfId="0" applyNumberFormat="1" applyFont="1" applyFill="1" applyBorder="1" applyAlignment="1">
      <alignment horizontal="center"/>
    </xf>
    <xf numFmtId="0" fontId="36" fillId="2" borderId="7" xfId="0" applyFont="1" applyFill="1" applyBorder="1"/>
    <xf numFmtId="14" fontId="36" fillId="2" borderId="0" xfId="0" applyNumberFormat="1" applyFont="1" applyFill="1" applyBorder="1" applyAlignment="1">
      <alignment horizontal="center"/>
    </xf>
    <xf numFmtId="14" fontId="39" fillId="2" borderId="0" xfId="0" applyNumberFormat="1" applyFont="1" applyFill="1" applyBorder="1" applyAlignment="1">
      <alignment horizontal="center"/>
    </xf>
    <xf numFmtId="0" fontId="39" fillId="2" borderId="0" xfId="0" applyFont="1" applyFill="1" applyBorder="1" applyAlignment="1">
      <alignment horizontal="center"/>
    </xf>
    <xf numFmtId="166" fontId="36" fillId="2" borderId="0" xfId="0" applyNumberFormat="1" applyFont="1" applyFill="1" applyBorder="1"/>
    <xf numFmtId="164" fontId="39" fillId="2" borderId="0" xfId="0" applyNumberFormat="1" applyFont="1" applyFill="1" applyBorder="1"/>
    <xf numFmtId="0" fontId="39" fillId="2" borderId="7" xfId="0" applyFont="1" applyFill="1" applyBorder="1"/>
    <xf numFmtId="166" fontId="39" fillId="2" borderId="0" xfId="0" applyNumberFormat="1" applyFont="1" applyFill="1" applyBorder="1"/>
    <xf numFmtId="0" fontId="39" fillId="2" borderId="0" xfId="0" applyFont="1" applyFill="1" applyBorder="1"/>
    <xf numFmtId="2" fontId="39" fillId="2" borderId="0" xfId="0" applyNumberFormat="1" applyFont="1" applyFill="1" applyBorder="1"/>
    <xf numFmtId="0" fontId="37" fillId="25" borderId="9" xfId="0" applyFont="1" applyFill="1" applyBorder="1"/>
    <xf numFmtId="166" fontId="37" fillId="25" borderId="10" xfId="0" applyNumberFormat="1" applyFont="1" applyFill="1" applyBorder="1"/>
    <xf numFmtId="0" fontId="39" fillId="2" borderId="0" xfId="0" applyFont="1" applyFill="1"/>
    <xf numFmtId="49" fontId="39" fillId="2" borderId="0" xfId="0" applyNumberFormat="1" applyFont="1" applyFill="1" applyAlignment="1">
      <alignment horizontal="right"/>
    </xf>
    <xf numFmtId="14" fontId="37" fillId="2" borderId="6" xfId="0" applyNumberFormat="1" applyFont="1" applyFill="1" applyBorder="1" applyAlignment="1">
      <alignment horizontal="center"/>
    </xf>
    <xf numFmtId="14" fontId="36" fillId="2" borderId="8" xfId="0" applyNumberFormat="1" applyFont="1" applyFill="1" applyBorder="1" applyAlignment="1">
      <alignment horizontal="center"/>
    </xf>
    <xf numFmtId="3" fontId="42" fillId="0" borderId="0" xfId="0" applyNumberFormat="1" applyFont="1"/>
    <xf numFmtId="3" fontId="25" fillId="0" borderId="1" xfId="0" quotePrefix="1" applyNumberFormat="1" applyFont="1" applyFill="1" applyBorder="1" applyAlignment="1">
      <alignment horizontal="right"/>
    </xf>
    <xf numFmtId="2" fontId="0" fillId="0" borderId="0" xfId="0" applyNumberFormat="1"/>
    <xf numFmtId="3" fontId="0" fillId="0" borderId="0" xfId="0" applyNumberFormat="1"/>
    <xf numFmtId="164" fontId="36" fillId="2" borderId="8" xfId="0" applyNumberFormat="1" applyFont="1" applyFill="1" applyBorder="1"/>
    <xf numFmtId="164" fontId="39" fillId="2" borderId="8" xfId="0" applyNumberFormat="1" applyFont="1" applyFill="1" applyBorder="1"/>
    <xf numFmtId="166" fontId="36" fillId="2" borderId="8" xfId="0" applyNumberFormat="1" applyFont="1" applyFill="1" applyBorder="1"/>
    <xf numFmtId="166" fontId="39" fillId="2" borderId="8" xfId="0" applyNumberFormat="1" applyFont="1" applyFill="1" applyBorder="1"/>
    <xf numFmtId="166" fontId="37" fillId="25" borderId="11" xfId="0" applyNumberFormat="1" applyFont="1" applyFill="1" applyBorder="1"/>
    <xf numFmtId="0" fontId="0" fillId="0" borderId="0" xfId="0" applyFont="1" applyFill="1" applyBorder="1"/>
    <xf numFmtId="0" fontId="43" fillId="0" borderId="0" xfId="0" applyFont="1" applyFill="1" applyBorder="1"/>
    <xf numFmtId="166" fontId="43" fillId="0" borderId="0" xfId="0" applyNumberFormat="1" applyFont="1" applyFill="1" applyBorder="1"/>
    <xf numFmtId="166" fontId="39" fillId="0" borderId="10" xfId="0" applyNumberFormat="1" applyFont="1" applyFill="1" applyBorder="1"/>
    <xf numFmtId="166" fontId="4" fillId="0" borderId="10" xfId="0" applyNumberFormat="1" applyFont="1" applyFill="1" applyBorder="1"/>
    <xf numFmtId="49" fontId="25" fillId="0" borderId="1" xfId="0" quotePrefix="1" applyNumberFormat="1" applyFont="1" applyFill="1" applyBorder="1" applyAlignment="1">
      <alignment horizontal="right"/>
    </xf>
  </cellXfs>
  <cellStyles count="58">
    <cellStyle name="20 % - Akzent1" xfId="1"/>
    <cellStyle name="20 % - Akzent2" xfId="2"/>
    <cellStyle name="20 % - Akzent3" xfId="3"/>
    <cellStyle name="20 % - Akzent4" xfId="4"/>
    <cellStyle name="20 % - Akzent5" xfId="5"/>
    <cellStyle name="20 % - Akzent6" xfId="6"/>
    <cellStyle name="40 % - Akzent1" xfId="7"/>
    <cellStyle name="40 % - Akzent2" xfId="8"/>
    <cellStyle name="40 % - Akzent3" xfId="9"/>
    <cellStyle name="40 % - Akzent4" xfId="10"/>
    <cellStyle name="40 % - Akzent5" xfId="11"/>
    <cellStyle name="40 % - Akzent6" xfId="12"/>
    <cellStyle name="60 % - Akzent1" xfId="13"/>
    <cellStyle name="60 % - Akzent2" xfId="14"/>
    <cellStyle name="60 % - Akzent3" xfId="15"/>
    <cellStyle name="60 % - Akzent4" xfId="16"/>
    <cellStyle name="60 % - Akzent5" xfId="17"/>
    <cellStyle name="60 % - Akzent6" xfId="18"/>
    <cellStyle name="Akzent1" xfId="19"/>
    <cellStyle name="Akzent2" xfId="20"/>
    <cellStyle name="Akzent3" xfId="21"/>
    <cellStyle name="Akzent4" xfId="22"/>
    <cellStyle name="Akzent5" xfId="23"/>
    <cellStyle name="Akzent6" xfId="24"/>
    <cellStyle name="Ausgabe" xfId="25"/>
    <cellStyle name="Berechnung" xfId="26"/>
    <cellStyle name="Besuchter Link" xfId="45" builtinId="9" hidden="1"/>
    <cellStyle name="Besuchter Link" xfId="47" builtinId="9" hidden="1"/>
    <cellStyle name="Besuchter Link" xfId="49" builtinId="9" hidden="1"/>
    <cellStyle name="Besuchter Link" xfId="51" builtinId="9" hidden="1"/>
    <cellStyle name="Besuchter Link" xfId="53" builtinId="9" hidden="1"/>
    <cellStyle name="Besuchter Link" xfId="55" builtinId="9" hidden="1"/>
    <cellStyle name="Besuchter Link" xfId="57" builtinId="9" hidden="1"/>
    <cellStyle name="Eingabe" xfId="27"/>
    <cellStyle name="Ergebnis" xfId="28"/>
    <cellStyle name="Erklärender Text" xfId="29"/>
    <cellStyle name="Excel Built-in Normal 1" xfId="30"/>
    <cellStyle name="Gut" xfId="3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Neutral" xfId="32"/>
    <cellStyle name="Notiz" xfId="33"/>
    <cellStyle name="Prozent" xfId="43" builtinId="5"/>
    <cellStyle name="Schlecht" xfId="34"/>
    <cellStyle name="Stand." xfId="0" builtinId="0"/>
    <cellStyle name="Überschrift" xfId="35"/>
    <cellStyle name="Überschrift 1" xfId="36"/>
    <cellStyle name="Überschrift 2" xfId="37"/>
    <cellStyle name="Überschrift 3" xfId="38"/>
    <cellStyle name="Überschrift 4" xfId="39"/>
    <cellStyle name="Verknüpfte Zelle" xfId="40"/>
    <cellStyle name="Warnender Text" xfId="41"/>
    <cellStyle name="Zelle überprüfen" xfId="42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'Spenden E-A-V'!$B$4</c:f>
              <c:strCache>
                <c:ptCount val="1"/>
                <c:pt idx="0">
                  <c:v>Spendeneinnahmen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invertIfNegative val="0"/>
          <c:dLbls>
            <c:dLbl>
              <c:idx val="17"/>
              <c:layout>
                <c:manualLayout>
                  <c:x val="-1.03293749034713E-16"/>
                  <c:y val="-0.019397424402783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'Spenden E-A-V'!$D$28:$V$28</c:f>
              <c:strCache>
                <c:ptCount val="19"/>
                <c:pt idx="0">
                  <c:v>31.Okt 2007</c:v>
                </c:pt>
                <c:pt idx="2">
                  <c:v>31.Ok 2008</c:v>
                </c:pt>
                <c:pt idx="4">
                  <c:v>31.Okt 2009</c:v>
                </c:pt>
                <c:pt idx="6">
                  <c:v>31.Okt 2010</c:v>
                </c:pt>
                <c:pt idx="8">
                  <c:v>31.Okt 2011</c:v>
                </c:pt>
                <c:pt idx="10">
                  <c:v>31.Okt 2012</c:v>
                </c:pt>
                <c:pt idx="12">
                  <c:v>31.Okt 2013</c:v>
                </c:pt>
                <c:pt idx="14">
                  <c:v>31.Okt 2014</c:v>
                </c:pt>
                <c:pt idx="16">
                  <c:v>31.Okt 2015</c:v>
                </c:pt>
                <c:pt idx="18">
                  <c:v>31.Dez 2015</c:v>
                </c:pt>
              </c:strCache>
            </c:strRef>
          </c:cat>
          <c:val>
            <c:numRef>
              <c:f>'Spenden E-A-V'!$D$4:$U$4</c:f>
              <c:numCache>
                <c:formatCode>#,##0</c:formatCode>
                <c:ptCount val="18"/>
                <c:pt idx="3">
                  <c:v>63837.51</c:v>
                </c:pt>
                <c:pt idx="5">
                  <c:v>23876.62</c:v>
                </c:pt>
                <c:pt idx="7">
                  <c:v>9360.94</c:v>
                </c:pt>
                <c:pt idx="9">
                  <c:v>10775.0</c:v>
                </c:pt>
                <c:pt idx="11">
                  <c:v>15941.0</c:v>
                </c:pt>
                <c:pt idx="13">
                  <c:v>10680.98</c:v>
                </c:pt>
                <c:pt idx="15">
                  <c:v>15179.8</c:v>
                </c:pt>
                <c:pt idx="17">
                  <c:v>2754.0</c:v>
                </c:pt>
              </c:numCache>
            </c:numRef>
          </c:val>
        </c:ser>
        <c:ser>
          <c:idx val="1"/>
          <c:order val="1"/>
          <c:tx>
            <c:strRef>
              <c:f>'Spenden E-A-V'!$B$10</c:f>
              <c:strCache>
                <c:ptCount val="1"/>
                <c:pt idx="0">
                  <c:v>Spendenausgaben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invertIfNegative val="0"/>
          <c:dLbls>
            <c:dLbl>
              <c:idx val="17"/>
              <c:layout>
                <c:manualLayout>
                  <c:x val="0.00141444566828361"/>
                  <c:y val="-0.040501277462063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'Spenden E-A-V'!$D$28:$V$28</c:f>
              <c:strCache>
                <c:ptCount val="19"/>
                <c:pt idx="0">
                  <c:v>31.Okt 2007</c:v>
                </c:pt>
                <c:pt idx="2">
                  <c:v>31.Ok 2008</c:v>
                </c:pt>
                <c:pt idx="4">
                  <c:v>31.Okt 2009</c:v>
                </c:pt>
                <c:pt idx="6">
                  <c:v>31.Okt 2010</c:v>
                </c:pt>
                <c:pt idx="8">
                  <c:v>31.Okt 2011</c:v>
                </c:pt>
                <c:pt idx="10">
                  <c:v>31.Okt 2012</c:v>
                </c:pt>
                <c:pt idx="12">
                  <c:v>31.Okt 2013</c:v>
                </c:pt>
                <c:pt idx="14">
                  <c:v>31.Okt 2014</c:v>
                </c:pt>
                <c:pt idx="16">
                  <c:v>31.Okt 2015</c:v>
                </c:pt>
                <c:pt idx="18">
                  <c:v>31.Dez 2015</c:v>
                </c:pt>
              </c:strCache>
            </c:strRef>
          </c:cat>
          <c:val>
            <c:numRef>
              <c:f>'Spenden E-A-V'!$D$10:$U$10</c:f>
              <c:numCache>
                <c:formatCode>#,##0</c:formatCode>
                <c:ptCount val="18"/>
                <c:pt idx="3">
                  <c:v>-16090.05157894737</c:v>
                </c:pt>
                <c:pt idx="5">
                  <c:v>-28857.52668246445</c:v>
                </c:pt>
                <c:pt idx="7">
                  <c:v>-20082.61328605201</c:v>
                </c:pt>
                <c:pt idx="9">
                  <c:v>-22037.63082949309</c:v>
                </c:pt>
                <c:pt idx="11">
                  <c:v>-19446.4450867052</c:v>
                </c:pt>
                <c:pt idx="13">
                  <c:v>-23248.02426955702</c:v>
                </c:pt>
                <c:pt idx="15">
                  <c:v>-11191.42</c:v>
                </c:pt>
                <c:pt idx="17">
                  <c:v>-5546.06</c:v>
                </c:pt>
              </c:numCache>
            </c:numRef>
          </c:val>
        </c:ser>
        <c:ser>
          <c:idx val="2"/>
          <c:order val="2"/>
          <c:tx>
            <c:strRef>
              <c:f>'Spenden E-A-V'!$B$21</c:f>
              <c:strCache>
                <c:ptCount val="1"/>
                <c:pt idx="0">
                  <c:v>Finanzergebnis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'Spenden E-A-V'!$D$28:$V$28</c:f>
              <c:strCache>
                <c:ptCount val="19"/>
                <c:pt idx="0">
                  <c:v>31.Okt 2007</c:v>
                </c:pt>
                <c:pt idx="2">
                  <c:v>31.Ok 2008</c:v>
                </c:pt>
                <c:pt idx="4">
                  <c:v>31.Okt 2009</c:v>
                </c:pt>
                <c:pt idx="6">
                  <c:v>31.Okt 2010</c:v>
                </c:pt>
                <c:pt idx="8">
                  <c:v>31.Okt 2011</c:v>
                </c:pt>
                <c:pt idx="10">
                  <c:v>31.Okt 2012</c:v>
                </c:pt>
                <c:pt idx="12">
                  <c:v>31.Okt 2013</c:v>
                </c:pt>
                <c:pt idx="14">
                  <c:v>31.Okt 2014</c:v>
                </c:pt>
                <c:pt idx="16">
                  <c:v>31.Okt 2015</c:v>
                </c:pt>
                <c:pt idx="18">
                  <c:v>31.Dez 2015</c:v>
                </c:pt>
              </c:strCache>
            </c:strRef>
          </c:cat>
          <c:val>
            <c:numRef>
              <c:f>'Spenden E-A-V'!$D$21:$V$21</c:f>
              <c:numCache>
                <c:formatCode>#,##0</c:formatCode>
                <c:ptCount val="19"/>
                <c:pt idx="3">
                  <c:v>-22.39201451905629</c:v>
                </c:pt>
                <c:pt idx="5">
                  <c:v>-87.34721875779496</c:v>
                </c:pt>
                <c:pt idx="7">
                  <c:v>-0.267346755851364</c:v>
                </c:pt>
                <c:pt idx="9">
                  <c:v>-105.3144017454515</c:v>
                </c:pt>
                <c:pt idx="11">
                  <c:v>-0.289432405591896</c:v>
                </c:pt>
                <c:pt idx="13">
                  <c:v>15.4436337188715</c:v>
                </c:pt>
                <c:pt idx="15">
                  <c:v>0.0</c:v>
                </c:pt>
                <c:pt idx="17">
                  <c:v>-22.12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2097392704"/>
        <c:axId val="-2097256512"/>
      </c:barChart>
      <c:lineChart>
        <c:grouping val="standard"/>
        <c:varyColors val="0"/>
        <c:ser>
          <c:idx val="3"/>
          <c:order val="3"/>
          <c:tx>
            <c:strRef>
              <c:f>'Spenden E-A-V'!$B$33</c:f>
              <c:strCache>
                <c:ptCount val="1"/>
                <c:pt idx="0">
                  <c:v>Spendenvermögen</c:v>
                </c:pt>
              </c:strCache>
            </c:strRef>
          </c:tx>
          <c:spPr>
            <a:ln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'Spenden E-A-V'!$D$34:$V$34</c:f>
              <c:numCache>
                <c:formatCode>#,##0_ ;[Red]\-#,##0\ </c:formatCode>
                <c:ptCount val="19"/>
                <c:pt idx="0">
                  <c:v>11605.03862068966</c:v>
                </c:pt>
                <c:pt idx="1">
                  <c:v>13006.35189655173</c:v>
                </c:pt>
                <c:pt idx="2">
                  <c:v>14407.66517241379</c:v>
                </c:pt>
                <c:pt idx="3">
                  <c:v>38270.19837568059</c:v>
                </c:pt>
                <c:pt idx="4">
                  <c:v>62132.73157894737</c:v>
                </c:pt>
                <c:pt idx="5">
                  <c:v>59598.60462833624</c:v>
                </c:pt>
                <c:pt idx="6">
                  <c:v>57064.47767772512</c:v>
                </c:pt>
                <c:pt idx="7">
                  <c:v>51703.50883886255</c:v>
                </c:pt>
                <c:pt idx="8">
                  <c:v>46342.54</c:v>
                </c:pt>
                <c:pt idx="9">
                  <c:v>40658.49896475771</c:v>
                </c:pt>
                <c:pt idx="10">
                  <c:v>34974.45792951542</c:v>
                </c:pt>
                <c:pt idx="11">
                  <c:v>33221.68928267679</c:v>
                </c:pt>
                <c:pt idx="12">
                  <c:v>31468.92063583815</c:v>
                </c:pt>
                <c:pt idx="13">
                  <c:v>25193.07031791908</c:v>
                </c:pt>
                <c:pt idx="14">
                  <c:v>18917.22</c:v>
                </c:pt>
                <c:pt idx="15">
                  <c:v>20911.41</c:v>
                </c:pt>
                <c:pt idx="16">
                  <c:v>22905.6</c:v>
                </c:pt>
                <c:pt idx="17">
                  <c:v>21698.51</c:v>
                </c:pt>
                <c:pt idx="18">
                  <c:v>20491.42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97392704"/>
        <c:axId val="-2097256512"/>
      </c:lineChart>
      <c:catAx>
        <c:axId val="-2097392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crossAx val="-2097256512"/>
        <c:crosses val="autoZero"/>
        <c:auto val="1"/>
        <c:lblAlgn val="ctr"/>
        <c:lblOffset val="100"/>
        <c:noMultiLvlLbl val="0"/>
      </c:catAx>
      <c:valAx>
        <c:axId val="-2097256512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crossAx val="-2097392704"/>
        <c:crosses val="autoZero"/>
        <c:crossBetween val="between"/>
        <c:majorUnit val="10000.0"/>
      </c:valAx>
    </c:plotArea>
    <c:legend>
      <c:legendPos val="b"/>
      <c:layout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de-DE"/>
    </a:p>
  </c:tx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1</xdr:row>
      <xdr:rowOff>101600</xdr:rowOff>
    </xdr:from>
    <xdr:to>
      <xdr:col>10</xdr:col>
      <xdr:colOff>774700</xdr:colOff>
      <xdr:row>28</xdr:row>
      <xdr:rowOff>114300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254000</xdr:colOff>
      <xdr:row>2</xdr:row>
      <xdr:rowOff>101600</xdr:rowOff>
    </xdr:from>
    <xdr:to>
      <xdr:col>11</xdr:col>
      <xdr:colOff>1380</xdr:colOff>
      <xdr:row>6</xdr:row>
      <xdr:rowOff>130865</xdr:rowOff>
    </xdr:to>
    <xdr:pic>
      <xdr:nvPicPr>
        <xdr:cNvPr id="4" name="Picture 1" descr="Logo GÜ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858000" y="469900"/>
          <a:ext cx="2141330" cy="638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96" zoomScaleNormal="96" zoomScalePageLayoutView="96" workbookViewId="0">
      <selection activeCell="M24" sqref="M24"/>
    </sheetView>
  </sheetViews>
  <sheetFormatPr baseColWidth="10" defaultColWidth="10.83203125" defaultRowHeight="13" x14ac:dyDescent="0.15"/>
  <cols>
    <col min="1" max="16384" width="10.83203125" style="1"/>
  </cols>
  <sheetData>
    <row r="1" spans="1:1" ht="18" x14ac:dyDescent="0.2">
      <c r="A1" s="40" t="s">
        <v>20</v>
      </c>
    </row>
  </sheetData>
  <phoneticPr fontId="24" type="noConversion"/>
  <pageMargins left="0.75" right="0.75" top="1" bottom="1" header="0.5" footer="0.5"/>
  <pageSetup paperSize="9" orientation="portrait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7"/>
  <sheetViews>
    <sheetView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V40" sqref="V40"/>
    </sheetView>
  </sheetViews>
  <sheetFormatPr baseColWidth="10" defaultRowHeight="13" outlineLevelRow="1" x14ac:dyDescent="0.15"/>
  <cols>
    <col min="1" max="1" width="3.1640625" customWidth="1"/>
    <col min="2" max="2" width="3.6640625" style="10" customWidth="1"/>
    <col min="3" max="3" width="26.6640625" style="10" customWidth="1"/>
    <col min="4" max="4" width="11.1640625" style="10" customWidth="1"/>
    <col min="5" max="5" width="9.1640625" style="10" customWidth="1"/>
    <col min="6" max="6" width="10.5" style="10" customWidth="1"/>
    <col min="7" max="7" width="9.1640625" style="10" customWidth="1"/>
    <col min="8" max="8" width="11.1640625" style="10" bestFit="1" customWidth="1"/>
    <col min="9" max="9" width="9.1640625" style="10" bestFit="1" customWidth="1"/>
    <col min="10" max="10" width="11.1640625" style="10" bestFit="1" customWidth="1"/>
    <col min="11" max="11" width="9.1640625" style="10" bestFit="1" customWidth="1"/>
    <col min="12" max="12" width="11.1640625" style="10" bestFit="1" customWidth="1"/>
    <col min="13" max="13" width="9.1640625" style="10" bestFit="1" customWidth="1"/>
    <col min="14" max="14" width="11.1640625" style="10" bestFit="1" customWidth="1"/>
    <col min="15" max="15" width="9.5" style="10" bestFit="1" customWidth="1"/>
    <col min="16" max="16" width="10.6640625" style="10" customWidth="1"/>
    <col min="17" max="17" width="11.1640625" customWidth="1"/>
    <col min="18" max="18" width="11.1640625" style="43" customWidth="1"/>
    <col min="19" max="19" width="11.1640625" customWidth="1"/>
    <col min="20" max="20" width="11.1640625" style="43" customWidth="1"/>
    <col min="21" max="21" width="11.1640625" customWidth="1"/>
    <col min="22" max="22" width="11.1640625" style="43" customWidth="1"/>
  </cols>
  <sheetData>
    <row r="1" spans="1:23" s="6" customFormat="1" ht="18" x14ac:dyDescent="0.2">
      <c r="A1" s="6" t="s">
        <v>54</v>
      </c>
      <c r="B1" s="3"/>
      <c r="C1" s="9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R1" s="43"/>
      <c r="T1" s="43"/>
      <c r="V1" s="43"/>
    </row>
    <row r="2" spans="1:23" s="3" customFormat="1" x14ac:dyDescent="0.15">
      <c r="C2" s="9"/>
      <c r="G2" s="47" t="s">
        <v>52</v>
      </c>
      <c r="I2" s="47" t="s">
        <v>52</v>
      </c>
      <c r="K2" s="47" t="s">
        <v>52</v>
      </c>
      <c r="M2" s="47" t="s">
        <v>52</v>
      </c>
      <c r="O2" s="47" t="s">
        <v>52</v>
      </c>
      <c r="Q2" s="47" t="s">
        <v>52</v>
      </c>
      <c r="S2" s="47" t="s">
        <v>52</v>
      </c>
      <c r="U2" s="47" t="s">
        <v>52</v>
      </c>
    </row>
    <row r="3" spans="1:23" s="4" customFormat="1" ht="27" x14ac:dyDescent="0.2">
      <c r="A3" s="4" t="s">
        <v>29</v>
      </c>
      <c r="B3" s="3"/>
      <c r="C3" s="3"/>
      <c r="D3" s="8"/>
      <c r="E3" s="23"/>
      <c r="F3" s="8"/>
      <c r="G3" s="21" t="s">
        <v>13</v>
      </c>
      <c r="H3" s="8"/>
      <c r="I3" s="21" t="s">
        <v>11</v>
      </c>
      <c r="J3" s="8"/>
      <c r="K3" s="21" t="s">
        <v>10</v>
      </c>
      <c r="L3" s="8"/>
      <c r="M3" s="21" t="s">
        <v>12</v>
      </c>
      <c r="N3" s="5"/>
      <c r="O3" s="42" t="s">
        <v>50</v>
      </c>
      <c r="P3" s="5"/>
      <c r="Q3" s="21" t="s">
        <v>60</v>
      </c>
      <c r="R3" s="5"/>
      <c r="S3" s="21" t="s">
        <v>62</v>
      </c>
      <c r="T3" s="5"/>
      <c r="U3" s="21" t="s">
        <v>71</v>
      </c>
      <c r="V3" s="5"/>
    </row>
    <row r="4" spans="1:23" s="3" customFormat="1" x14ac:dyDescent="0.15">
      <c r="B4" s="3" t="s">
        <v>27</v>
      </c>
      <c r="D4" s="24"/>
      <c r="E4" s="25"/>
      <c r="F4" s="24"/>
      <c r="G4" s="26">
        <v>63837.51</v>
      </c>
      <c r="H4" s="88"/>
      <c r="I4" s="26">
        <v>23876.62</v>
      </c>
      <c r="J4" s="49"/>
      <c r="K4" s="26">
        <v>9360.94</v>
      </c>
      <c r="L4" s="24"/>
      <c r="M4" s="26">
        <v>10775</v>
      </c>
      <c r="N4" s="48"/>
      <c r="O4" s="26">
        <f>SUM(O5:O6)</f>
        <v>15941</v>
      </c>
      <c r="P4" s="48"/>
      <c r="Q4" s="26">
        <f>SUM(Q5:Q6)</f>
        <v>10680.98</v>
      </c>
      <c r="R4" s="48"/>
      <c r="S4" s="26">
        <f>SUM(S5:S8)</f>
        <v>15179.8</v>
      </c>
      <c r="T4" s="48"/>
      <c r="U4" s="26">
        <f>SUM(U5:U8)</f>
        <v>2754</v>
      </c>
      <c r="V4" s="48"/>
    </row>
    <row r="5" spans="1:23" x14ac:dyDescent="0.15">
      <c r="B5" s="9"/>
      <c r="C5" s="9" t="s">
        <v>22</v>
      </c>
      <c r="D5" s="27"/>
      <c r="E5" s="28"/>
      <c r="F5" s="27"/>
      <c r="G5" s="29"/>
      <c r="H5" s="27"/>
      <c r="I5" s="29"/>
      <c r="J5" s="50"/>
      <c r="K5" s="29"/>
      <c r="L5" s="27"/>
      <c r="M5" s="29">
        <v>7540</v>
      </c>
      <c r="N5" s="48"/>
      <c r="O5" s="29">
        <v>12159</v>
      </c>
      <c r="P5" s="48"/>
      <c r="Q5" s="29">
        <v>9676.5</v>
      </c>
      <c r="R5" s="48"/>
      <c r="S5" s="29">
        <v>10548</v>
      </c>
      <c r="T5" s="48"/>
      <c r="U5" s="29">
        <v>1100</v>
      </c>
      <c r="V5" s="48"/>
    </row>
    <row r="6" spans="1:23" x14ac:dyDescent="0.15">
      <c r="B6" s="9"/>
      <c r="C6" s="51" t="s">
        <v>73</v>
      </c>
      <c r="D6" s="27"/>
      <c r="E6" s="28"/>
      <c r="F6" s="27"/>
      <c r="G6" s="29"/>
      <c r="H6" s="27"/>
      <c r="I6" s="29"/>
      <c r="J6" s="50"/>
      <c r="K6" s="29"/>
      <c r="L6" s="27"/>
      <c r="M6" s="29">
        <f>M4-M5</f>
        <v>3235</v>
      </c>
      <c r="N6" s="48"/>
      <c r="O6" s="29">
        <f>3030+752</f>
        <v>3782</v>
      </c>
      <c r="P6" s="48"/>
      <c r="Q6" s="29">
        <f>1000+4.48</f>
        <v>1004.48</v>
      </c>
      <c r="R6" s="48"/>
      <c r="S6" s="29">
        <v>2776.4</v>
      </c>
      <c r="T6" s="48"/>
      <c r="U6" s="29">
        <v>170</v>
      </c>
      <c r="V6" s="48"/>
    </row>
    <row r="7" spans="1:23" x14ac:dyDescent="0.15">
      <c r="B7" s="9"/>
      <c r="C7" s="51" t="s">
        <v>63</v>
      </c>
      <c r="D7" s="27"/>
      <c r="E7" s="28"/>
      <c r="F7" s="27"/>
      <c r="G7" s="29"/>
      <c r="H7" s="27"/>
      <c r="I7" s="29"/>
      <c r="J7" s="50"/>
      <c r="K7" s="29"/>
      <c r="L7" s="27"/>
      <c r="M7" s="29"/>
      <c r="N7" s="48"/>
      <c r="O7" s="29"/>
      <c r="P7" s="48"/>
      <c r="Q7" s="29"/>
      <c r="R7" s="48"/>
      <c r="S7" s="29">
        <v>335</v>
      </c>
      <c r="T7" s="48"/>
      <c r="U7" s="29">
        <v>1184</v>
      </c>
      <c r="V7" s="48"/>
    </row>
    <row r="8" spans="1:23" x14ac:dyDescent="0.15">
      <c r="B8" s="9"/>
      <c r="C8" s="51" t="s">
        <v>64</v>
      </c>
      <c r="D8" s="27"/>
      <c r="E8" s="28"/>
      <c r="F8" s="27"/>
      <c r="G8" s="29"/>
      <c r="H8" s="27"/>
      <c r="I8" s="29"/>
      <c r="J8" s="50"/>
      <c r="K8" s="29"/>
      <c r="L8" s="27"/>
      <c r="M8" s="29"/>
      <c r="N8" s="48"/>
      <c r="O8" s="29"/>
      <c r="P8" s="48"/>
      <c r="Q8" s="29"/>
      <c r="R8" s="48"/>
      <c r="S8" s="29">
        <v>1520.4</v>
      </c>
      <c r="T8" s="48"/>
      <c r="U8" s="29">
        <v>300</v>
      </c>
      <c r="V8" s="48"/>
    </row>
    <row r="9" spans="1:23" x14ac:dyDescent="0.15">
      <c r="B9" s="3" t="s">
        <v>68</v>
      </c>
      <c r="C9" s="51"/>
      <c r="D9" s="27"/>
      <c r="E9" s="28"/>
      <c r="F9" s="27"/>
      <c r="G9" s="29"/>
      <c r="H9" s="27"/>
      <c r="I9" s="29"/>
      <c r="J9" s="50"/>
      <c r="K9" s="29"/>
      <c r="L9" s="27"/>
      <c r="M9" s="29"/>
      <c r="N9" s="48"/>
      <c r="O9" s="29"/>
      <c r="P9" s="48"/>
      <c r="Q9" s="29"/>
      <c r="R9" s="48"/>
      <c r="S9" s="26">
        <v>0</v>
      </c>
      <c r="T9" s="48"/>
      <c r="U9" s="26">
        <v>400</v>
      </c>
      <c r="V9" s="48"/>
    </row>
    <row r="10" spans="1:23" s="3" customFormat="1" x14ac:dyDescent="0.15">
      <c r="B10" s="3" t="s">
        <v>28</v>
      </c>
      <c r="D10" s="24"/>
      <c r="E10" s="25"/>
      <c r="F10" s="24"/>
      <c r="G10" s="26">
        <f>-16264.17+G30+G32</f>
        <v>-16090.051578947367</v>
      </c>
      <c r="H10" s="24"/>
      <c r="I10" s="26">
        <f>-28133.33+I30+I32</f>
        <v>-28857.526682464457</v>
      </c>
      <c r="J10" s="49"/>
      <c r="K10" s="26">
        <f>-20131.54+K32</f>
        <v>-20082.613286052012</v>
      </c>
      <c r="L10" s="24"/>
      <c r="M10" s="26">
        <f>M11+M12</f>
        <v>-22037.630829493086</v>
      </c>
      <c r="N10" s="48"/>
      <c r="O10" s="26">
        <f>SUM(O11:O18)</f>
        <v>-19446.4450867052</v>
      </c>
      <c r="P10" s="48"/>
      <c r="Q10" s="26">
        <f>SUM(Q11:Q18)</f>
        <v>-23248.02426955702</v>
      </c>
      <c r="R10" s="48"/>
      <c r="S10" s="26">
        <f>SUM(S11:S20)</f>
        <v>-11191.42</v>
      </c>
      <c r="T10" s="48"/>
      <c r="U10" s="26">
        <f>SUM(U11:U20)</f>
        <v>-5546.06</v>
      </c>
      <c r="V10" s="48"/>
    </row>
    <row r="11" spans="1:23" x14ac:dyDescent="0.15">
      <c r="C11" s="10" t="s">
        <v>42</v>
      </c>
      <c r="D11" s="31"/>
      <c r="E11" s="32"/>
      <c r="F11" s="31"/>
      <c r="G11" s="33"/>
      <c r="H11" s="31"/>
      <c r="I11" s="33"/>
      <c r="J11" s="31"/>
      <c r="K11" s="33"/>
      <c r="L11" s="31"/>
      <c r="M11" s="29">
        <v>-11900</v>
      </c>
      <c r="N11" s="48"/>
      <c r="O11" s="29">
        <v>-13112</v>
      </c>
      <c r="P11" s="48"/>
      <c r="Q11" s="29">
        <v>-11772</v>
      </c>
      <c r="R11" s="48"/>
      <c r="S11" s="29">
        <v>-10100</v>
      </c>
      <c r="T11" s="48"/>
      <c r="U11" s="29">
        <v>-1400</v>
      </c>
      <c r="V11" s="48"/>
    </row>
    <row r="12" spans="1:23" x14ac:dyDescent="0.15">
      <c r="C12" s="51" t="s">
        <v>65</v>
      </c>
      <c r="D12" s="31"/>
      <c r="E12" s="32"/>
      <c r="F12" s="31"/>
      <c r="G12" s="33"/>
      <c r="H12" s="31"/>
      <c r="I12" s="33"/>
      <c r="J12" s="31"/>
      <c r="K12" s="33"/>
      <c r="L12" s="31"/>
      <c r="M12" s="29">
        <f>SUM(M13:M18)</f>
        <v>-10137.630829493088</v>
      </c>
      <c r="N12" s="48"/>
      <c r="O12" s="29">
        <f>-6223-482/P35</f>
        <v>-6334.4450867052019</v>
      </c>
      <c r="P12" s="48"/>
      <c r="Q12" s="29">
        <f>-10652.27+Q32-4.48</f>
        <v>-11476.024269557021</v>
      </c>
      <c r="R12" s="90"/>
      <c r="S12" s="29">
        <v>0</v>
      </c>
      <c r="T12" s="90"/>
      <c r="U12" s="29">
        <v>-3000</v>
      </c>
      <c r="V12" s="90"/>
      <c r="W12" s="91"/>
    </row>
    <row r="13" spans="1:23" ht="12.75" hidden="1" customHeight="1" outlineLevel="1" x14ac:dyDescent="0.15">
      <c r="C13" s="52" t="s">
        <v>46</v>
      </c>
      <c r="D13" s="31"/>
      <c r="E13" s="32"/>
      <c r="F13" s="31"/>
      <c r="G13" s="33"/>
      <c r="H13" s="31"/>
      <c r="I13" s="33"/>
      <c r="J13" s="31"/>
      <c r="K13" s="33"/>
      <c r="L13" s="31"/>
      <c r="M13" s="29">
        <v>-2896.3133640552996</v>
      </c>
      <c r="N13" s="48"/>
      <c r="O13" s="29"/>
      <c r="P13" s="48"/>
      <c r="Q13" s="29"/>
      <c r="R13" s="48"/>
      <c r="S13" s="29"/>
      <c r="T13" s="48"/>
      <c r="U13" s="29"/>
      <c r="V13" s="48"/>
    </row>
    <row r="14" spans="1:23" ht="12.75" hidden="1" customHeight="1" outlineLevel="1" x14ac:dyDescent="0.15">
      <c r="C14" s="52" t="s">
        <v>43</v>
      </c>
      <c r="D14" s="31"/>
      <c r="E14" s="32"/>
      <c r="F14" s="31"/>
      <c r="G14" s="33"/>
      <c r="H14" s="31"/>
      <c r="I14" s="33"/>
      <c r="J14" s="31"/>
      <c r="K14" s="33"/>
      <c r="L14" s="31"/>
      <c r="M14" s="29">
        <v>-3340.4930875576033</v>
      </c>
      <c r="N14" s="48"/>
      <c r="O14" s="29"/>
      <c r="P14" s="48"/>
      <c r="Q14" s="29"/>
      <c r="R14" s="48"/>
      <c r="S14" s="29"/>
      <c r="T14" s="48"/>
      <c r="U14" s="29"/>
      <c r="V14" s="48"/>
    </row>
    <row r="15" spans="1:23" ht="12.75" hidden="1" customHeight="1" outlineLevel="1" x14ac:dyDescent="0.15">
      <c r="C15" s="52" t="s">
        <v>45</v>
      </c>
      <c r="D15" s="31"/>
      <c r="E15" s="32"/>
      <c r="F15" s="31"/>
      <c r="G15" s="33"/>
      <c r="H15" s="31"/>
      <c r="I15" s="33"/>
      <c r="J15" s="31"/>
      <c r="K15" s="33"/>
      <c r="L15" s="31"/>
      <c r="M15" s="29">
        <v>-3667.2811059907835</v>
      </c>
      <c r="N15" s="48"/>
      <c r="O15" s="29"/>
      <c r="P15" s="48"/>
      <c r="Q15" s="29"/>
      <c r="R15" s="48"/>
      <c r="S15" s="29"/>
      <c r="T15" s="48"/>
      <c r="U15" s="29"/>
      <c r="V15" s="48"/>
    </row>
    <row r="16" spans="1:23" ht="12.75" hidden="1" customHeight="1" outlineLevel="1" x14ac:dyDescent="0.15">
      <c r="C16" s="52" t="s">
        <v>44</v>
      </c>
      <c r="D16" s="31"/>
      <c r="E16" s="32"/>
      <c r="F16" s="31"/>
      <c r="G16" s="33"/>
      <c r="H16" s="31"/>
      <c r="I16" s="33"/>
      <c r="J16" s="31"/>
      <c r="K16" s="33"/>
      <c r="L16" s="31"/>
      <c r="M16" s="29">
        <v>-107.37327188940093</v>
      </c>
      <c r="N16" s="5"/>
      <c r="O16" s="29"/>
      <c r="P16" s="5"/>
      <c r="Q16" s="29"/>
      <c r="R16" s="5"/>
      <c r="S16" s="29"/>
      <c r="T16" s="5"/>
      <c r="U16" s="29"/>
      <c r="V16" s="5"/>
    </row>
    <row r="17" spans="1:22" ht="12.75" hidden="1" customHeight="1" outlineLevel="1" x14ac:dyDescent="0.15">
      <c r="C17" s="52" t="s">
        <v>23</v>
      </c>
      <c r="D17" s="31"/>
      <c r="E17" s="32"/>
      <c r="F17" s="31"/>
      <c r="G17" s="33"/>
      <c r="H17" s="31"/>
      <c r="I17" s="33"/>
      <c r="J17" s="31"/>
      <c r="K17" s="33"/>
      <c r="L17" s="31"/>
      <c r="M17" s="29">
        <v>-84</v>
      </c>
      <c r="N17" s="5"/>
      <c r="O17" s="29"/>
      <c r="P17" s="5"/>
      <c r="Q17" s="29"/>
      <c r="R17" s="5"/>
      <c r="S17" s="29"/>
      <c r="T17" s="5"/>
      <c r="U17" s="29"/>
      <c r="V17" s="5"/>
    </row>
    <row r="18" spans="1:22" ht="12.75" hidden="1" customHeight="1" outlineLevel="1" x14ac:dyDescent="0.15">
      <c r="C18" s="52" t="s">
        <v>47</v>
      </c>
      <c r="D18" s="31"/>
      <c r="E18" s="32"/>
      <c r="F18" s="31"/>
      <c r="G18" s="33"/>
      <c r="H18" s="31"/>
      <c r="I18" s="33"/>
      <c r="J18" s="31"/>
      <c r="K18" s="33"/>
      <c r="L18" s="31"/>
      <c r="M18" s="29">
        <v>-42.17</v>
      </c>
      <c r="N18" s="5"/>
      <c r="O18" s="29"/>
      <c r="P18" s="5"/>
      <c r="Q18" s="29"/>
      <c r="R18" s="5"/>
      <c r="S18" s="29"/>
      <c r="T18" s="5"/>
      <c r="U18" s="29"/>
      <c r="V18" s="5"/>
    </row>
    <row r="19" spans="1:22" ht="12.75" customHeight="1" collapsed="1" x14ac:dyDescent="0.15">
      <c r="C19" s="51" t="s">
        <v>66</v>
      </c>
      <c r="D19" s="31"/>
      <c r="E19" s="32"/>
      <c r="F19" s="31"/>
      <c r="G19" s="33"/>
      <c r="H19" s="31"/>
      <c r="I19" s="33"/>
      <c r="J19" s="31"/>
      <c r="K19" s="33"/>
      <c r="L19" s="31"/>
      <c r="M19" s="29"/>
      <c r="N19" s="5"/>
      <c r="O19" s="29"/>
      <c r="P19" s="5"/>
      <c r="Q19" s="29"/>
      <c r="R19" s="5"/>
      <c r="S19" s="29">
        <v>-388.82</v>
      </c>
      <c r="T19" s="5"/>
      <c r="U19" s="29">
        <v>-777.64</v>
      </c>
      <c r="V19" s="5"/>
    </row>
    <row r="20" spans="1:22" ht="12.75" customHeight="1" x14ac:dyDescent="0.15">
      <c r="C20" s="51" t="s">
        <v>67</v>
      </c>
      <c r="D20" s="31"/>
      <c r="E20" s="32"/>
      <c r="F20" s="31"/>
      <c r="G20" s="33"/>
      <c r="H20" s="31"/>
      <c r="I20" s="33"/>
      <c r="J20" s="31"/>
      <c r="K20" s="33"/>
      <c r="L20" s="31"/>
      <c r="M20" s="29"/>
      <c r="N20" s="5"/>
      <c r="O20" s="29"/>
      <c r="P20" s="5"/>
      <c r="Q20" s="29"/>
      <c r="R20" s="5"/>
      <c r="S20" s="29">
        <v>-702.6</v>
      </c>
      <c r="T20" s="5"/>
      <c r="U20" s="29">
        <v>-368.42</v>
      </c>
      <c r="V20" s="5"/>
    </row>
    <row r="21" spans="1:22" s="3" customFormat="1" x14ac:dyDescent="0.15">
      <c r="B21" s="3" t="s">
        <v>24</v>
      </c>
      <c r="D21" s="24"/>
      <c r="E21" s="25"/>
      <c r="F21" s="24"/>
      <c r="G21" s="26">
        <f>G22+G23+G24</f>
        <v>-22.392014519056289</v>
      </c>
      <c r="H21" s="24"/>
      <c r="I21" s="26">
        <f>I22+I23+I24</f>
        <v>-87.347218757794963</v>
      </c>
      <c r="J21" s="24"/>
      <c r="K21" s="26">
        <f>K22+K23+K24</f>
        <v>-0.26734675585136358</v>
      </c>
      <c r="L21" s="24"/>
      <c r="M21" s="26">
        <f>M22+M23+M24</f>
        <v>-105.31440174545151</v>
      </c>
      <c r="N21" s="5"/>
      <c r="O21" s="26">
        <f>O22+O23+O24+O25</f>
        <v>-0.28943240559189576</v>
      </c>
      <c r="P21" s="5"/>
      <c r="Q21" s="26">
        <f>SUM(Q22:Q25)</f>
        <v>15.443633718871496</v>
      </c>
      <c r="R21" s="5"/>
      <c r="S21" s="26">
        <f>0+0</f>
        <v>0</v>
      </c>
      <c r="T21" s="5"/>
      <c r="U21" s="26">
        <f>-20.24-1.88</f>
        <v>-22.119999999999997</v>
      </c>
      <c r="V21" s="5"/>
    </row>
    <row r="22" spans="1:22" hidden="1" outlineLevel="1" x14ac:dyDescent="0.15">
      <c r="B22" s="9"/>
      <c r="C22" s="9" t="s">
        <v>25</v>
      </c>
      <c r="D22" s="27"/>
      <c r="E22" s="34"/>
      <c r="F22" s="27"/>
      <c r="G22" s="35"/>
      <c r="H22" s="27"/>
      <c r="I22" s="35"/>
      <c r="J22" s="27"/>
      <c r="K22" s="35"/>
      <c r="L22" s="27"/>
      <c r="M22" s="29">
        <f>12.53+8.26+9.3+10.6</f>
        <v>40.69</v>
      </c>
      <c r="N22" s="5"/>
      <c r="O22" s="29">
        <v>20</v>
      </c>
      <c r="P22" s="5"/>
      <c r="Q22" s="29">
        <v>18.809999999999999</v>
      </c>
      <c r="R22" s="5"/>
      <c r="S22" s="29"/>
      <c r="T22" s="5"/>
      <c r="U22" s="29"/>
      <c r="V22" s="5"/>
    </row>
    <row r="23" spans="1:22" hidden="1" outlineLevel="1" x14ac:dyDescent="0.15">
      <c r="B23" s="9"/>
      <c r="C23" s="9" t="s">
        <v>48</v>
      </c>
      <c r="D23" s="27"/>
      <c r="E23" s="34"/>
      <c r="F23" s="27"/>
      <c r="G23" s="35"/>
      <c r="H23" s="27"/>
      <c r="I23" s="35"/>
      <c r="J23" s="27"/>
      <c r="K23" s="35"/>
      <c r="L23" s="27"/>
      <c r="M23" s="29">
        <f>-(4*12.21+2*13.9+2*15+3.13+3.61+2.07+3.22+2.33+5.54+2.65+5.77)</f>
        <v>-134.96</v>
      </c>
      <c r="N23" s="5"/>
      <c r="O23" s="29">
        <f>-72-O22</f>
        <v>-92</v>
      </c>
      <c r="P23" s="5"/>
      <c r="Q23" s="29">
        <v>-69.87</v>
      </c>
      <c r="R23" s="5"/>
      <c r="S23" s="29"/>
      <c r="T23" s="5"/>
      <c r="U23" s="29"/>
      <c r="V23" s="5"/>
    </row>
    <row r="24" spans="1:22" hidden="1" outlineLevel="1" x14ac:dyDescent="0.15">
      <c r="B24" s="9"/>
      <c r="C24" s="9" t="s">
        <v>26</v>
      </c>
      <c r="D24" s="27"/>
      <c r="E24" s="28"/>
      <c r="F24" s="27"/>
      <c r="G24" s="29">
        <f>F31/H35-F32</f>
        <v>-22.392014519056289</v>
      </c>
      <c r="H24" s="27"/>
      <c r="I24" s="29">
        <f>H31/J35-H32</f>
        <v>-87.347218757794963</v>
      </c>
      <c r="J24" s="27"/>
      <c r="K24" s="29">
        <f>J31/L35-J32</f>
        <v>-0.26734675585136358</v>
      </c>
      <c r="L24" s="27"/>
      <c r="M24" s="29">
        <f>L31/N35-L32</f>
        <v>-11.044401745451495</v>
      </c>
      <c r="N24" s="5"/>
      <c r="O24" s="29">
        <f>N31/P35-N32</f>
        <v>7.7105675944081042</v>
      </c>
      <c r="P24" s="5"/>
      <c r="Q24" s="29">
        <f>P31/R35-P32</f>
        <v>15.343633718871502</v>
      </c>
      <c r="R24" s="5"/>
      <c r="S24" s="29"/>
      <c r="T24" s="5"/>
      <c r="U24" s="29"/>
      <c r="V24" s="5"/>
    </row>
    <row r="25" spans="1:22" hidden="1" outlineLevel="1" x14ac:dyDescent="0.15">
      <c r="B25" s="9"/>
      <c r="C25" s="51" t="s">
        <v>59</v>
      </c>
      <c r="D25" s="27"/>
      <c r="E25" s="28"/>
      <c r="F25" s="27"/>
      <c r="G25" s="29"/>
      <c r="H25" s="27"/>
      <c r="I25" s="29"/>
      <c r="J25" s="27"/>
      <c r="K25" s="29"/>
      <c r="L25" s="27"/>
      <c r="M25" s="29"/>
      <c r="N25" s="5"/>
      <c r="O25" s="29">
        <v>64</v>
      </c>
      <c r="P25" s="5"/>
      <c r="Q25" s="29">
        <v>51.16</v>
      </c>
      <c r="R25" s="5"/>
      <c r="S25" s="29"/>
      <c r="T25" s="5"/>
      <c r="U25" s="29"/>
      <c r="V25" s="5"/>
    </row>
    <row r="26" spans="1:22" s="3" customFormat="1" collapsed="1" x14ac:dyDescent="0.15">
      <c r="B26" s="62" t="s">
        <v>56</v>
      </c>
      <c r="C26" s="62"/>
      <c r="D26" s="24"/>
      <c r="E26" s="25"/>
      <c r="F26" s="24"/>
      <c r="G26" s="61">
        <f>G4+G10+G21</f>
        <v>47725.06640653358</v>
      </c>
      <c r="H26" s="24"/>
      <c r="I26" s="61">
        <f>I4+I10+I21</f>
        <v>-5068.2539012222533</v>
      </c>
      <c r="J26" s="24"/>
      <c r="K26" s="61">
        <f>K4+K10+K21</f>
        <v>-10721.940632807862</v>
      </c>
      <c r="L26" s="24"/>
      <c r="M26" s="61">
        <f>M4+M10+M21</f>
        <v>-11367.945231238537</v>
      </c>
      <c r="N26" s="48"/>
      <c r="O26" s="61">
        <f>O4+O10+O21</f>
        <v>-3505.734519110792</v>
      </c>
      <c r="P26" s="48"/>
      <c r="Q26" s="61">
        <f>Q4+Q10+Q21</f>
        <v>-12551.600635838149</v>
      </c>
      <c r="R26" s="48"/>
      <c r="S26" s="61">
        <f>S4+S10+S21</f>
        <v>3988.3799999999992</v>
      </c>
      <c r="T26" s="48"/>
      <c r="U26" s="61">
        <f>U4+U9+U10+U21</f>
        <v>-2414.1800000000003</v>
      </c>
      <c r="V26" s="48"/>
    </row>
    <row r="27" spans="1:22" x14ac:dyDescent="0.15">
      <c r="B27" s="9"/>
      <c r="C27" s="9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1:22" s="18" customFormat="1" ht="16" x14ac:dyDescent="0.2">
      <c r="A28" s="20" t="s">
        <v>1</v>
      </c>
      <c r="C28" s="19"/>
      <c r="D28" s="36" t="s">
        <v>18</v>
      </c>
      <c r="E28" s="37"/>
      <c r="F28" s="36" t="s">
        <v>17</v>
      </c>
      <c r="G28" s="37"/>
      <c r="H28" s="36" t="s">
        <v>16</v>
      </c>
      <c r="I28" s="37"/>
      <c r="J28" s="36" t="s">
        <v>15</v>
      </c>
      <c r="K28" s="37"/>
      <c r="L28" s="36" t="s">
        <v>14</v>
      </c>
      <c r="M28" s="37"/>
      <c r="N28" s="36" t="s">
        <v>19</v>
      </c>
      <c r="O28" s="45"/>
      <c r="P28" s="46" t="s">
        <v>51</v>
      </c>
      <c r="Q28" s="45"/>
      <c r="R28" s="89" t="s">
        <v>61</v>
      </c>
      <c r="S28" s="45"/>
      <c r="T28" s="102" t="s">
        <v>70</v>
      </c>
      <c r="U28" s="45"/>
      <c r="V28" s="102" t="s">
        <v>72</v>
      </c>
    </row>
    <row r="29" spans="1:22" s="7" customFormat="1" x14ac:dyDescent="0.15">
      <c r="B29" s="11"/>
      <c r="C29" s="97" t="s">
        <v>69</v>
      </c>
      <c r="D29" s="38">
        <v>10239.780000000001</v>
      </c>
      <c r="E29" s="39">
        <f>F29-D29</f>
        <v>3394.9799999999996</v>
      </c>
      <c r="F29" s="38">
        <v>13634.76</v>
      </c>
      <c r="G29" s="39">
        <f>63837.51-16264.17</f>
        <v>47573.340000000004</v>
      </c>
      <c r="H29" s="38">
        <f>SUM(F29:G29)</f>
        <v>61208.100000000006</v>
      </c>
      <c r="I29" s="39">
        <f>23876.62-28133.33</f>
        <v>-4256.7100000000028</v>
      </c>
      <c r="J29" s="38">
        <f>SUM(H29:I29)</f>
        <v>56951.39</v>
      </c>
      <c r="K29" s="39">
        <f>9360.94-20131.54</f>
        <v>-10770.6</v>
      </c>
      <c r="L29" s="38">
        <f>SUM(J29:K29)</f>
        <v>46180.79</v>
      </c>
      <c r="M29" s="39">
        <f>10815.69-22177.13</f>
        <v>-11361.44</v>
      </c>
      <c r="N29" s="38">
        <f>SUM(L29:M29)</f>
        <v>34819.35</v>
      </c>
      <c r="O29" s="39">
        <f>P29-N29</f>
        <v>-4154.3599999999969</v>
      </c>
      <c r="P29" s="38">
        <f>28955.99+5*19+1200+350+64</f>
        <v>30664.99</v>
      </c>
      <c r="Q29" s="39">
        <f>R29-P29</f>
        <v>-11747.77</v>
      </c>
      <c r="R29" s="38">
        <v>18917.22</v>
      </c>
      <c r="S29" s="39"/>
      <c r="T29" s="38">
        <f>22141.62+763.98</f>
        <v>22905.599999999999</v>
      </c>
      <c r="U29" s="39"/>
      <c r="V29" s="38">
        <f>18991.38+1500.04</f>
        <v>20491.420000000002</v>
      </c>
    </row>
    <row r="30" spans="1:22" s="14" customFormat="1" x14ac:dyDescent="0.15">
      <c r="C30" s="14" t="s">
        <v>9</v>
      </c>
      <c r="D30" s="29">
        <v>0</v>
      </c>
      <c r="E30" s="28">
        <f>F30-D30</f>
        <v>507</v>
      </c>
      <c r="F30" s="29">
        <v>507</v>
      </c>
      <c r="G30" s="28">
        <f>H30-F30</f>
        <v>-460</v>
      </c>
      <c r="H30" s="29">
        <v>47</v>
      </c>
      <c r="I30" s="28">
        <v>-47</v>
      </c>
      <c r="J30" s="29">
        <f>SUM(H30:I30)</f>
        <v>0</v>
      </c>
      <c r="K30" s="28">
        <v>0</v>
      </c>
      <c r="L30" s="29">
        <f>SUM(J30:K30)</f>
        <v>0</v>
      </c>
      <c r="M30" s="28">
        <v>0</v>
      </c>
      <c r="N30" s="29">
        <f>SUM(L30:M30)</f>
        <v>0</v>
      </c>
      <c r="O30" s="28">
        <v>0</v>
      </c>
      <c r="P30" s="29">
        <v>0</v>
      </c>
      <c r="Q30" s="28">
        <v>0</v>
      </c>
      <c r="R30" s="29">
        <v>0</v>
      </c>
      <c r="S30" s="28"/>
      <c r="T30" s="29">
        <v>0</v>
      </c>
      <c r="U30" s="28"/>
      <c r="V30" s="29">
        <v>0</v>
      </c>
    </row>
    <row r="31" spans="1:22" s="13" customFormat="1" x14ac:dyDescent="0.15">
      <c r="C31" s="13" t="s">
        <v>3</v>
      </c>
      <c r="D31" s="30">
        <v>4751.1000000000004</v>
      </c>
      <c r="E31" s="39">
        <f>F31-D31</f>
        <v>-3825.7500000000005</v>
      </c>
      <c r="F31" s="30">
        <v>925.35</v>
      </c>
      <c r="G31" s="39">
        <f>H31-F31</f>
        <v>2409.65</v>
      </c>
      <c r="H31" s="30">
        <v>3335</v>
      </c>
      <c r="I31" s="39">
        <v>-2857.77</v>
      </c>
      <c r="J31" s="30">
        <f>SUM(H31:I31)</f>
        <v>477.23</v>
      </c>
      <c r="K31" s="39">
        <v>206.96</v>
      </c>
      <c r="L31" s="30">
        <f>SUM(J31:K31)</f>
        <v>684.19</v>
      </c>
      <c r="M31" s="39">
        <v>20</v>
      </c>
      <c r="N31" s="30">
        <f>SUM(L31:M31)</f>
        <v>704.19</v>
      </c>
      <c r="O31" s="39">
        <f>P31-N31</f>
        <v>2772.81</v>
      </c>
      <c r="P31" s="30">
        <v>3477</v>
      </c>
      <c r="Q31" s="39">
        <f>R31-P31</f>
        <v>-3477</v>
      </c>
      <c r="R31" s="30">
        <v>0</v>
      </c>
      <c r="S31" s="39"/>
      <c r="T31" s="30">
        <v>0</v>
      </c>
      <c r="U31" s="39"/>
      <c r="V31" s="30">
        <v>0</v>
      </c>
    </row>
    <row r="32" spans="1:22" s="14" customFormat="1" outlineLevel="1" x14ac:dyDescent="0.15">
      <c r="C32" s="14" t="s">
        <v>34</v>
      </c>
      <c r="D32" s="29">
        <f>D31/3.48</f>
        <v>1365.2586206896553</v>
      </c>
      <c r="E32" s="28">
        <f>E31/F35</f>
        <v>-1099.3534482758623</v>
      </c>
      <c r="F32" s="29">
        <v>265.90517241379314</v>
      </c>
      <c r="G32" s="28">
        <f>G31/H35</f>
        <v>634.11842105263167</v>
      </c>
      <c r="H32" s="29">
        <f>H31/3.8</f>
        <v>877.63157894736844</v>
      </c>
      <c r="I32" s="28">
        <f>I31/J35</f>
        <v>-677.19668246445497</v>
      </c>
      <c r="J32" s="29">
        <f>J31/4.22</f>
        <v>113.0876777251185</v>
      </c>
      <c r="K32" s="28">
        <f>K31/L35</f>
        <v>48.926713947990542</v>
      </c>
      <c r="L32" s="29">
        <f>L31/L35</f>
        <v>161.74704491725768</v>
      </c>
      <c r="M32" s="28">
        <f>M31/N35</f>
        <v>4.4052863436123344</v>
      </c>
      <c r="N32" s="29">
        <f>N31/N35</f>
        <v>155.1079295154185</v>
      </c>
      <c r="O32" s="28">
        <f>O31/P35</f>
        <v>641.11213872832366</v>
      </c>
      <c r="P32" s="29">
        <f>P31/P35</f>
        <v>803.93063583815024</v>
      </c>
      <c r="Q32" s="28">
        <f>Q31/R35</f>
        <v>-819.27426955702174</v>
      </c>
      <c r="R32" s="29">
        <f>R31/R35</f>
        <v>0</v>
      </c>
      <c r="S32" s="28"/>
      <c r="T32" s="29">
        <v>0</v>
      </c>
      <c r="U32" s="28"/>
      <c r="V32" s="29">
        <v>0</v>
      </c>
    </row>
    <row r="33" spans="2:22" s="7" customFormat="1" x14ac:dyDescent="0.15">
      <c r="B33" s="63" t="s">
        <v>2</v>
      </c>
      <c r="C33" s="63"/>
      <c r="D33" s="59">
        <f>D32+D30+D29</f>
        <v>11605.038620689656</v>
      </c>
      <c r="E33" s="60">
        <f>F33-D33</f>
        <v>2802.6265517241372</v>
      </c>
      <c r="F33" s="59">
        <v>14407.665172413794</v>
      </c>
      <c r="G33" s="60">
        <f>H33-F33</f>
        <v>47725.06640653358</v>
      </c>
      <c r="H33" s="59">
        <f t="shared" ref="H33:J33" si="0">H32+H30+H29</f>
        <v>62132.731578947372</v>
      </c>
      <c r="I33" s="60">
        <f>J33-H33</f>
        <v>-5068.2539012222551</v>
      </c>
      <c r="J33" s="59">
        <f t="shared" si="0"/>
        <v>57064.477677725117</v>
      </c>
      <c r="K33" s="60">
        <f>L33-J33</f>
        <v>-10721.937677725116</v>
      </c>
      <c r="L33" s="59">
        <v>46342.54</v>
      </c>
      <c r="M33" s="60">
        <f>N33-L33</f>
        <v>-11368.082070484583</v>
      </c>
      <c r="N33" s="59">
        <f>N29+N30+N32</f>
        <v>34974.457929515418</v>
      </c>
      <c r="O33" s="60">
        <f>P33-N33</f>
        <v>-3505.5372936772656</v>
      </c>
      <c r="P33" s="59">
        <f>P29+P30+P32</f>
        <v>31468.920635838153</v>
      </c>
      <c r="Q33" s="60">
        <f>R33-P33</f>
        <v>-12551.700635838151</v>
      </c>
      <c r="R33" s="59">
        <f>R29+R30+R32</f>
        <v>18917.22</v>
      </c>
      <c r="S33" s="60">
        <f>T33-R33</f>
        <v>3988.3799999999974</v>
      </c>
      <c r="T33" s="59">
        <f>T29</f>
        <v>22905.599999999999</v>
      </c>
      <c r="U33" s="60">
        <f>V33-T33</f>
        <v>-2414.1799999999967</v>
      </c>
      <c r="V33" s="59">
        <f>V29</f>
        <v>20491.420000000002</v>
      </c>
    </row>
    <row r="34" spans="2:22" s="98" customFormat="1" x14ac:dyDescent="0.15">
      <c r="B34" s="98" t="str">
        <f>B33</f>
        <v>Spendenvermögen</v>
      </c>
      <c r="D34" s="99">
        <f>D33</f>
        <v>11605.038620689656</v>
      </c>
      <c r="E34" s="99">
        <f>AVERAGE(D34,F33)</f>
        <v>13006.351896551725</v>
      </c>
      <c r="F34" s="99">
        <f>F33</f>
        <v>14407.665172413794</v>
      </c>
      <c r="G34" s="99">
        <f>AVERAGE(F34,H33)</f>
        <v>38270.198375680586</v>
      </c>
      <c r="H34" s="99">
        <f>H33</f>
        <v>62132.731578947372</v>
      </c>
      <c r="I34" s="99">
        <f>AVERAGE(H34,J33)</f>
        <v>59598.604628336245</v>
      </c>
      <c r="J34" s="99">
        <f>J33</f>
        <v>57064.477677725117</v>
      </c>
      <c r="K34" s="99">
        <f>AVERAGE(J34,L33)</f>
        <v>51703.508838862559</v>
      </c>
      <c r="L34" s="99">
        <f>L33</f>
        <v>46342.54</v>
      </c>
      <c r="M34" s="99">
        <f>AVERAGE(L34,N33)</f>
        <v>40658.498964757709</v>
      </c>
      <c r="N34" s="99">
        <f>N33</f>
        <v>34974.457929515418</v>
      </c>
      <c r="O34" s="99">
        <f>AVERAGE(N34,P33)</f>
        <v>33221.689282676787</v>
      </c>
      <c r="P34" s="99">
        <f>P33</f>
        <v>31468.920635838153</v>
      </c>
      <c r="Q34" s="99">
        <f>AVERAGE(P34,R33)</f>
        <v>25193.070317919075</v>
      </c>
      <c r="R34" s="99">
        <f>R33</f>
        <v>18917.22</v>
      </c>
      <c r="S34" s="99">
        <f>AVERAGE(R34,T33)</f>
        <v>20911.41</v>
      </c>
      <c r="T34" s="99">
        <f>T33</f>
        <v>22905.599999999999</v>
      </c>
      <c r="U34" s="99">
        <f>AVERAGE(T34,V33)</f>
        <v>21698.510000000002</v>
      </c>
      <c r="V34" s="99">
        <f>V33</f>
        <v>20491.420000000002</v>
      </c>
    </row>
    <row r="35" spans="2:22" s="15" customFormat="1" x14ac:dyDescent="0.15">
      <c r="B35" s="16"/>
      <c r="C35" s="41" t="s">
        <v>0</v>
      </c>
      <c r="D35" s="17" t="s">
        <v>4</v>
      </c>
      <c r="E35" s="17"/>
      <c r="F35" s="17">
        <f>F31/F32</f>
        <v>3.4799999999999995</v>
      </c>
      <c r="G35" s="17"/>
      <c r="H35" s="17" t="s">
        <v>5</v>
      </c>
      <c r="I35" s="17"/>
      <c r="J35" s="17" t="s">
        <v>6</v>
      </c>
      <c r="K35" s="17"/>
      <c r="L35" s="17" t="s">
        <v>7</v>
      </c>
      <c r="M35" s="17"/>
      <c r="N35" s="17" t="s">
        <v>21</v>
      </c>
      <c r="O35" s="17"/>
      <c r="P35" s="53">
        <v>4.3250000000000002</v>
      </c>
      <c r="Q35" s="17"/>
      <c r="R35" s="53">
        <v>4.2439999999999998</v>
      </c>
      <c r="S35" s="17"/>
      <c r="T35" s="53"/>
      <c r="U35" s="17"/>
      <c r="V35" s="53"/>
    </row>
    <row r="36" spans="2:22" s="7" customFormat="1" x14ac:dyDescent="0.15">
      <c r="B36" s="11"/>
      <c r="C36" s="14" t="s">
        <v>8</v>
      </c>
      <c r="D36" s="22"/>
      <c r="E36" s="22"/>
      <c r="F36" s="22"/>
      <c r="G36" s="22">
        <f>G26-G33</f>
        <v>0</v>
      </c>
      <c r="H36" s="22"/>
      <c r="I36" s="22">
        <f>I26-I33</f>
        <v>0</v>
      </c>
      <c r="J36" s="22"/>
      <c r="K36" s="22">
        <f>K26-K33</f>
        <v>-2.955082745756954E-3</v>
      </c>
      <c r="L36" s="22"/>
      <c r="M36" s="22">
        <f>M26-M33</f>
        <v>0.13683924604629283</v>
      </c>
      <c r="N36" s="11"/>
      <c r="O36" s="22">
        <f>O26-O33</f>
        <v>-0.19722543352645516</v>
      </c>
      <c r="P36" s="11"/>
      <c r="Q36" s="22">
        <f>Q26-Q33</f>
        <v>0.10000000000218279</v>
      </c>
      <c r="R36" s="11"/>
      <c r="S36" s="22">
        <f>S26-S33</f>
        <v>0</v>
      </c>
      <c r="T36" s="11"/>
      <c r="U36" s="22">
        <f>U26-U33</f>
        <v>-3.637978807091713E-12</v>
      </c>
      <c r="V36" s="11"/>
    </row>
    <row r="37" spans="2:22" s="7" customFormat="1" x14ac:dyDescent="0.15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R37" s="44"/>
      <c r="T37" s="44"/>
      <c r="V37" s="44"/>
    </row>
  </sheetData>
  <phoneticPr fontId="24" type="noConversion"/>
  <conditionalFormatting sqref="P4:P26 N4:N26">
    <cfRule type="dataBar" priority="6">
      <dataBar>
        <cfvo type="percentile" val="10"/>
        <cfvo type="percentile" val="90"/>
        <color rgb="FF63C384"/>
      </dataBar>
      <extLst>
        <ext xmlns:x14="http://schemas.microsoft.com/office/spreadsheetml/2009/9/main" uri="{B025F937-C7B1-47D3-B67F-A62EFF666E3E}">
          <x14:id>{6EB9146D-9754-4A79-A27C-2F5D550211BB}</x14:id>
        </ext>
      </extLst>
    </cfRule>
  </conditionalFormatting>
  <conditionalFormatting sqref="R4:R11 R13:R26">
    <cfRule type="dataBar" priority="3">
      <dataBar>
        <cfvo type="percentile" val="10"/>
        <cfvo type="percentile" val="90"/>
        <color rgb="FF63C384"/>
      </dataBar>
      <extLst>
        <ext xmlns:x14="http://schemas.microsoft.com/office/spreadsheetml/2009/9/main" uri="{B025F937-C7B1-47D3-B67F-A62EFF666E3E}">
          <x14:id>{91BC6FE1-C377-4BDC-9662-9066F9B2F8EB}</x14:id>
        </ext>
      </extLst>
    </cfRule>
  </conditionalFormatting>
  <conditionalFormatting sqref="T4:T11 T13:T26">
    <cfRule type="dataBar" priority="2">
      <dataBar>
        <cfvo type="percentile" val="10"/>
        <cfvo type="percentile" val="90"/>
        <color rgb="FF63C384"/>
      </dataBar>
      <extLst>
        <ext xmlns:x14="http://schemas.microsoft.com/office/spreadsheetml/2009/9/main" uri="{B025F937-C7B1-47D3-B67F-A62EFF666E3E}">
          <x14:id>{07FE2D40-9CD6-694D-831E-DE7D9EA44EE3}</x14:id>
        </ext>
      </extLst>
    </cfRule>
  </conditionalFormatting>
  <conditionalFormatting sqref="V4:V11 V13:V26">
    <cfRule type="dataBar" priority="1">
      <dataBar>
        <cfvo type="percentile" val="10"/>
        <cfvo type="percentile" val="90"/>
        <color rgb="FF63C384"/>
      </dataBar>
      <extLst>
        <ext xmlns:x14="http://schemas.microsoft.com/office/spreadsheetml/2009/9/main" uri="{B025F937-C7B1-47D3-B67F-A62EFF666E3E}">
          <x14:id>{2FB67100-0F9E-694D-883B-06239F0DD0E9}</x14:id>
        </ext>
      </extLst>
    </cfRule>
  </conditionalFormatting>
  <pageMargins left="0.35629921259842523" right="0.35629921259842523" top="1" bottom="1" header="0.5" footer="0.5"/>
  <pageSetup paperSize="9" orientation="landscape" horizontalDpi="4294967292" verticalDpi="4294967292"/>
  <ignoredErrors>
    <ignoredError sqref="G21:M21 O10" emptyCellReference="1"/>
    <ignoredError sqref="E30:O34 M29 I29:K29" formula="1"/>
    <ignoredError sqref="D35 G35:N35" numberStoredAsText="1"/>
  </ignoredErrors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EB9146D-9754-4A79-A27C-2F5D550211BB}">
            <x14:dataBar minLength="0" maxLength="100" border="1" negativeBarBorderColorSameAsPositive="0">
              <x14:cfvo type="percentile">
                <xm:f>10</xm:f>
              </x14:cfvo>
              <x14:cfvo type="percentile">
                <xm:f>90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P4:P26 N4:N26</xm:sqref>
        </x14:conditionalFormatting>
        <x14:conditionalFormatting xmlns:xm="http://schemas.microsoft.com/office/excel/2006/main">
          <x14:cfRule type="dataBar" id="{91BC6FE1-C377-4BDC-9662-9066F9B2F8EB}">
            <x14:dataBar minLength="0" maxLength="100" border="1" negativeBarBorderColorSameAsPositive="0">
              <x14:cfvo type="percentile">
                <xm:f>10</xm:f>
              </x14:cfvo>
              <x14:cfvo type="percentile">
                <xm:f>90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R4:R11 R13:R26</xm:sqref>
        </x14:conditionalFormatting>
        <x14:conditionalFormatting xmlns:xm="http://schemas.microsoft.com/office/excel/2006/main">
          <x14:cfRule type="dataBar" id="{07FE2D40-9CD6-694D-831E-DE7D9EA44EE3}">
            <x14:dataBar minLength="0" maxLength="100" border="1" negativeBarBorderColorSameAsPositive="0">
              <x14:cfvo type="percentile">
                <xm:f>10</xm:f>
              </x14:cfvo>
              <x14:cfvo type="percentile">
                <xm:f>90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T4:T11 T13:T26</xm:sqref>
        </x14:conditionalFormatting>
        <x14:conditionalFormatting xmlns:xm="http://schemas.microsoft.com/office/excel/2006/main">
          <x14:cfRule type="dataBar" id="{2FB67100-0F9E-694D-883B-06239F0DD0E9}">
            <x14:dataBar minLength="0" maxLength="100" border="1" negativeBarBorderColorSameAsPositive="0">
              <x14:cfvo type="percentile">
                <xm:f>10</xm:f>
              </x14:cfvo>
              <x14:cfvo type="percentile">
                <xm:f>90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V4:V11 V13:V26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18"/>
  <sheetViews>
    <sheetView workbookViewId="0">
      <selection sqref="A1:W12"/>
    </sheetView>
  </sheetViews>
  <sheetFormatPr baseColWidth="10" defaultColWidth="11.5" defaultRowHeight="13" outlineLevelCol="1" x14ac:dyDescent="0.15"/>
  <cols>
    <col min="1" max="1" width="37.5" style="1" customWidth="1"/>
    <col min="2" max="3" width="11.83203125" style="1" hidden="1" customWidth="1"/>
    <col min="4" max="5" width="11.83203125" style="1" hidden="1" customWidth="1" outlineLevel="1"/>
    <col min="6" max="6" width="11.83203125" style="1" hidden="1" customWidth="1" collapsed="1"/>
    <col min="7" max="8" width="11.83203125" style="1" hidden="1" customWidth="1" outlineLevel="1"/>
    <col min="9" max="9" width="11.83203125" style="1" hidden="1" customWidth="1" collapsed="1"/>
    <col min="10" max="11" width="11.83203125" style="1" hidden="1" customWidth="1" outlineLevel="1"/>
    <col min="12" max="12" width="0" style="1" hidden="1" customWidth="1" collapsed="1"/>
    <col min="13" max="14" width="11.83203125" style="1" hidden="1" customWidth="1" outlineLevel="1"/>
    <col min="15" max="15" width="0" style="1" hidden="1" customWidth="1" collapsed="1"/>
    <col min="16" max="16" width="11.5" style="1" hidden="1" customWidth="1" outlineLevel="1"/>
    <col min="17" max="17" width="0" style="68" hidden="1" customWidth="1" collapsed="1"/>
    <col min="18" max="18" width="11.5" style="1" hidden="1" customWidth="1" outlineLevel="1"/>
    <col min="19" max="19" width="11.5" style="68" collapsed="1"/>
    <col min="20" max="20" width="11.5" style="1" customWidth="1" outlineLevel="1"/>
    <col min="21" max="21" width="11.5" style="68"/>
    <col min="22" max="22" width="11.5" style="1" customWidth="1" outlineLevel="1"/>
    <col min="23" max="23" width="11.5" style="68"/>
    <col min="24" max="16384" width="11.5" style="1"/>
  </cols>
  <sheetData>
    <row r="1" spans="1:23" ht="18" x14ac:dyDescent="0.2">
      <c r="A1" s="67" t="s">
        <v>55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23" s="54" customFormat="1" ht="14" thickBot="1" x14ac:dyDescent="0.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Q2" s="68"/>
      <c r="S2" s="68"/>
      <c r="U2" s="68"/>
      <c r="W2" s="68"/>
    </row>
    <row r="3" spans="1:23" s="66" customFormat="1" x14ac:dyDescent="0.15">
      <c r="A3" s="69"/>
      <c r="B3" s="70">
        <v>39386</v>
      </c>
      <c r="C3" s="70">
        <v>39752</v>
      </c>
      <c r="D3" s="71" t="s">
        <v>32</v>
      </c>
      <c r="E3" s="71" t="s">
        <v>33</v>
      </c>
      <c r="F3" s="70">
        <v>40117</v>
      </c>
      <c r="G3" s="71" t="s">
        <v>32</v>
      </c>
      <c r="H3" s="71" t="s">
        <v>33</v>
      </c>
      <c r="I3" s="70">
        <v>40482</v>
      </c>
      <c r="J3" s="71" t="s">
        <v>32</v>
      </c>
      <c r="K3" s="71" t="s">
        <v>33</v>
      </c>
      <c r="L3" s="70">
        <v>40847</v>
      </c>
      <c r="M3" s="71" t="s">
        <v>32</v>
      </c>
      <c r="N3" s="71" t="s">
        <v>33</v>
      </c>
      <c r="O3" s="70">
        <v>41213</v>
      </c>
      <c r="P3" s="65" t="s">
        <v>53</v>
      </c>
      <c r="Q3" s="86">
        <v>41578</v>
      </c>
      <c r="R3" s="65" t="s">
        <v>53</v>
      </c>
      <c r="S3" s="86">
        <v>41943</v>
      </c>
      <c r="T3" s="65" t="s">
        <v>53</v>
      </c>
      <c r="U3" s="86">
        <v>42308</v>
      </c>
      <c r="V3" s="65" t="s">
        <v>53</v>
      </c>
      <c r="W3" s="86">
        <v>42369</v>
      </c>
    </row>
    <row r="4" spans="1:23" s="54" customFormat="1" ht="7.5" customHeight="1" x14ac:dyDescent="0.15">
      <c r="A4" s="72"/>
      <c r="B4" s="73"/>
      <c r="C4" s="73"/>
      <c r="D4" s="74"/>
      <c r="E4" s="75"/>
      <c r="F4" s="73"/>
      <c r="G4" s="74"/>
      <c r="H4" s="75"/>
      <c r="I4" s="73"/>
      <c r="J4" s="74"/>
      <c r="K4" s="75"/>
      <c r="L4" s="73"/>
      <c r="M4" s="74"/>
      <c r="N4" s="75"/>
      <c r="O4" s="73"/>
      <c r="P4" s="55"/>
      <c r="Q4" s="87"/>
      <c r="R4" s="55"/>
      <c r="S4" s="87"/>
      <c r="T4" s="55"/>
      <c r="U4" s="87"/>
      <c r="V4" s="55"/>
      <c r="W4" s="87"/>
    </row>
    <row r="5" spans="1:23" s="54" customFormat="1" x14ac:dyDescent="0.15">
      <c r="A5" s="72" t="s">
        <v>30</v>
      </c>
      <c r="B5" s="76">
        <v>1241.18</v>
      </c>
      <c r="C5" s="76">
        <v>1845.74</v>
      </c>
      <c r="D5" s="77">
        <v>665.67</v>
      </c>
      <c r="E5" s="77">
        <v>-1045.3900000000001</v>
      </c>
      <c r="F5" s="76">
        <f>SUM(C5:E5)</f>
        <v>1466.0199999999998</v>
      </c>
      <c r="G5" s="77">
        <v>721.85</v>
      </c>
      <c r="H5" s="77">
        <v>-739.34</v>
      </c>
      <c r="I5" s="76">
        <f>SUM(F5:H5)</f>
        <v>1448.5299999999997</v>
      </c>
      <c r="J5" s="77">
        <v>2154.12</v>
      </c>
      <c r="K5" s="77">
        <v>-1045.28</v>
      </c>
      <c r="L5" s="76">
        <f>SUM(I5:K5)</f>
        <v>2557.37</v>
      </c>
      <c r="M5" s="77">
        <v>1283.6199999999999</v>
      </c>
      <c r="N5" s="77">
        <v>-777.73</v>
      </c>
      <c r="O5" s="76">
        <f>SUM(L5:N5)</f>
        <v>3063.2599999999998</v>
      </c>
      <c r="P5" s="57">
        <f>Q5-O5</f>
        <v>-3045.5899999999997</v>
      </c>
      <c r="Q5" s="94">
        <v>17.670000000000002</v>
      </c>
      <c r="R5" s="57">
        <f>S5-Q5</f>
        <v>343.19</v>
      </c>
      <c r="S5" s="92">
        <v>360.86</v>
      </c>
      <c r="T5" s="56">
        <f>U5-S5</f>
        <v>732.12</v>
      </c>
      <c r="U5" s="92">
        <v>1092.98</v>
      </c>
      <c r="V5" s="56">
        <f>W5-U5</f>
        <v>210.1099999999999</v>
      </c>
      <c r="W5" s="92">
        <v>1303.0899999999999</v>
      </c>
    </row>
    <row r="6" spans="1:23" s="54" customFormat="1" x14ac:dyDescent="0.15">
      <c r="A6" s="72" t="s">
        <v>57</v>
      </c>
      <c r="B6" s="76">
        <v>614.5</v>
      </c>
      <c r="C6" s="76">
        <v>405</v>
      </c>
      <c r="D6" s="77">
        <f>F6-C6</f>
        <v>405.5</v>
      </c>
      <c r="E6" s="77"/>
      <c r="F6" s="76">
        <v>810.5</v>
      </c>
      <c r="G6" s="77">
        <f>720+500</f>
        <v>1220</v>
      </c>
      <c r="H6" s="77">
        <v>-2030.5</v>
      </c>
      <c r="I6" s="76">
        <f>SUM(F6:H6)</f>
        <v>0</v>
      </c>
      <c r="J6" s="77">
        <v>0.83</v>
      </c>
      <c r="K6" s="77"/>
      <c r="L6" s="76">
        <f>SUM(I6:K6)</f>
        <v>0.83</v>
      </c>
      <c r="M6" s="77"/>
      <c r="N6" s="77"/>
      <c r="O6" s="76">
        <f t="shared" ref="O6:O7" si="0">SUM(L6:N6)</f>
        <v>0.83</v>
      </c>
      <c r="P6" s="57">
        <f>Q6-O6</f>
        <v>-0.83</v>
      </c>
      <c r="Q6" s="94">
        <v>0</v>
      </c>
      <c r="R6" s="57">
        <f>S6-Q6</f>
        <v>0</v>
      </c>
      <c r="S6" s="92">
        <v>0</v>
      </c>
      <c r="T6" s="57">
        <f>U6-S6</f>
        <v>0</v>
      </c>
      <c r="U6" s="92">
        <v>0</v>
      </c>
      <c r="V6" s="57">
        <f>W6-U6</f>
        <v>0</v>
      </c>
      <c r="W6" s="92">
        <v>0</v>
      </c>
    </row>
    <row r="7" spans="1:23" s="54" customFormat="1" x14ac:dyDescent="0.15">
      <c r="A7" s="78" t="s">
        <v>58</v>
      </c>
      <c r="B7" s="79">
        <v>5</v>
      </c>
      <c r="C7" s="79">
        <v>837</v>
      </c>
      <c r="D7" s="80"/>
      <c r="E7" s="77">
        <f>F7-C7</f>
        <v>-55.350000000000023</v>
      </c>
      <c r="F7" s="79">
        <v>781.65</v>
      </c>
      <c r="G7" s="80">
        <v>675.02</v>
      </c>
      <c r="H7" s="77"/>
      <c r="I7" s="79">
        <f>SUM(F7:H7)</f>
        <v>1456.67</v>
      </c>
      <c r="J7" s="80"/>
      <c r="K7" s="77"/>
      <c r="L7" s="79">
        <f>SUM(I7:K7)</f>
        <v>1456.67</v>
      </c>
      <c r="M7" s="80">
        <v>2</v>
      </c>
      <c r="N7" s="77"/>
      <c r="O7" s="79">
        <f t="shared" si="0"/>
        <v>1458.67</v>
      </c>
      <c r="P7" s="56"/>
      <c r="Q7" s="95">
        <v>0.8</v>
      </c>
      <c r="R7" s="57">
        <f>S7-Q7</f>
        <v>-0.8</v>
      </c>
      <c r="S7" s="93">
        <v>0</v>
      </c>
      <c r="T7" s="57">
        <f>U7-S7</f>
        <v>0</v>
      </c>
      <c r="U7" s="93">
        <v>0</v>
      </c>
      <c r="V7" s="57">
        <f>W7-U7</f>
        <v>0</v>
      </c>
      <c r="W7" s="93">
        <v>0</v>
      </c>
    </row>
    <row r="8" spans="1:23" s="54" customFormat="1" x14ac:dyDescent="0.15">
      <c r="A8" s="78" t="s">
        <v>34</v>
      </c>
      <c r="B8" s="79">
        <f>B7/3.48</f>
        <v>1.4367816091954022</v>
      </c>
      <c r="C8" s="79">
        <v>240.51724137931035</v>
      </c>
      <c r="D8" s="81"/>
      <c r="E8" s="77">
        <f>E7/3.8</f>
        <v>-14.565789473684218</v>
      </c>
      <c r="F8" s="79">
        <f>F7/3.8</f>
        <v>205.69736842105263</v>
      </c>
      <c r="G8" s="81">
        <f>G7/4.22</f>
        <v>159.957345971564</v>
      </c>
      <c r="H8" s="77"/>
      <c r="I8" s="79">
        <f>SUM(F8:H8)</f>
        <v>365.6547143926166</v>
      </c>
      <c r="J8" s="81"/>
      <c r="K8" s="77"/>
      <c r="L8" s="79">
        <f>L7/4.23</f>
        <v>344.36643026004725</v>
      </c>
      <c r="M8" s="81"/>
      <c r="N8" s="77">
        <f>O8-L8</f>
        <v>-23.073478718197009</v>
      </c>
      <c r="O8" s="79">
        <f>O7/4.54</f>
        <v>321.29295154185024</v>
      </c>
      <c r="P8" s="56"/>
      <c r="Q8" s="95">
        <f>Q7/4.54</f>
        <v>0.1762114537444934</v>
      </c>
      <c r="R8" s="57">
        <f>S8-Q8</f>
        <v>-0.1762114537444934</v>
      </c>
      <c r="S8" s="93">
        <f>S7/4.244</f>
        <v>0</v>
      </c>
      <c r="T8" s="57">
        <f>U8-S8</f>
        <v>0</v>
      </c>
      <c r="U8" s="93">
        <f>U7/4.244</f>
        <v>0</v>
      </c>
      <c r="V8" s="57">
        <f>W8-U8</f>
        <v>0</v>
      </c>
      <c r="W8" s="93">
        <f>W7/4.244</f>
        <v>0</v>
      </c>
    </row>
    <row r="9" spans="1:23" s="64" customFormat="1" ht="14" thickBot="1" x14ac:dyDescent="0.2">
      <c r="A9" s="82" t="s">
        <v>31</v>
      </c>
      <c r="B9" s="83">
        <f>B8+B6+B5</f>
        <v>1857.1167816091954</v>
      </c>
      <c r="C9" s="83">
        <v>2491.2572413793105</v>
      </c>
      <c r="D9" s="100">
        <f>SUM(D5:D8)</f>
        <v>1071.17</v>
      </c>
      <c r="E9" s="100">
        <f>SUM(E5:E8)</f>
        <v>-1115.3057894736844</v>
      </c>
      <c r="F9" s="83">
        <f>F5+F6+F8</f>
        <v>2482.217368421052</v>
      </c>
      <c r="G9" s="100">
        <f>SUM(G5:G8)-G7</f>
        <v>2101.8073459715638</v>
      </c>
      <c r="H9" s="100">
        <f>SUM(H5:H8)</f>
        <v>-2769.84</v>
      </c>
      <c r="I9" s="83">
        <f>SUM(F9:H9)</f>
        <v>1814.1847143926152</v>
      </c>
      <c r="J9" s="100"/>
      <c r="K9" s="100"/>
      <c r="L9" s="83">
        <v>2902.57</v>
      </c>
      <c r="M9" s="100"/>
      <c r="N9" s="100"/>
      <c r="O9" s="83">
        <f>O8+O6+O5</f>
        <v>3385.3829515418502</v>
      </c>
      <c r="P9" s="101"/>
      <c r="Q9" s="96">
        <f>Q8+Q6+Q5</f>
        <v>17.846211453744495</v>
      </c>
      <c r="R9" s="101"/>
      <c r="S9" s="96">
        <f>S8+S6+S5</f>
        <v>360.86</v>
      </c>
      <c r="T9" s="101"/>
      <c r="U9" s="96">
        <f>U8+U6+U5</f>
        <v>1092.98</v>
      </c>
      <c r="V9" s="101"/>
      <c r="W9" s="96">
        <f>W8+W6+W5</f>
        <v>1303.0899999999999</v>
      </c>
    </row>
    <row r="10" spans="1:23" s="54" customFormat="1" x14ac:dyDescent="0.1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Q10" s="68"/>
      <c r="S10" s="68"/>
      <c r="U10" s="68"/>
      <c r="W10" s="68"/>
    </row>
    <row r="11" spans="1:23" s="2" customFormat="1" x14ac:dyDescent="0.15">
      <c r="A11" s="84" t="s">
        <v>36</v>
      </c>
      <c r="B11" s="84"/>
      <c r="C11" s="85" t="s">
        <v>37</v>
      </c>
      <c r="D11" s="85"/>
      <c r="E11" s="85"/>
      <c r="F11" s="85" t="s">
        <v>38</v>
      </c>
      <c r="G11" s="85"/>
      <c r="H11" s="85"/>
      <c r="I11" s="85" t="s">
        <v>39</v>
      </c>
      <c r="J11" s="85"/>
      <c r="K11" s="85"/>
      <c r="L11" s="85" t="s">
        <v>40</v>
      </c>
      <c r="M11" s="85"/>
      <c r="N11" s="85"/>
      <c r="O11" s="85" t="s">
        <v>41</v>
      </c>
      <c r="P11" s="58"/>
      <c r="Q11" s="85"/>
      <c r="R11" s="58"/>
      <c r="S11" s="85"/>
      <c r="T11" s="58"/>
      <c r="U11" s="85"/>
      <c r="V11" s="58"/>
      <c r="W11" s="85"/>
    </row>
    <row r="12" spans="1:23" s="2" customFormat="1" x14ac:dyDescent="0.15">
      <c r="A12" s="84" t="s">
        <v>49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>
        <f>810/30</f>
        <v>27</v>
      </c>
      <c r="M12" s="84"/>
      <c r="N12" s="84"/>
      <c r="O12" s="84">
        <f>1050/30</f>
        <v>35</v>
      </c>
      <c r="Q12" s="84">
        <f>1110/30</f>
        <v>37</v>
      </c>
      <c r="S12" s="84">
        <f>1290/30</f>
        <v>43</v>
      </c>
      <c r="U12" s="84">
        <f>900/30</f>
        <v>30</v>
      </c>
      <c r="W12" s="84">
        <f>330/30</f>
        <v>11</v>
      </c>
    </row>
    <row r="13" spans="1:23" s="54" customFormat="1" x14ac:dyDescent="0.15">
      <c r="Q13" s="68"/>
      <c r="S13" s="68"/>
      <c r="U13" s="68"/>
      <c r="W13" s="68"/>
    </row>
    <row r="14" spans="1:23" s="54" customFormat="1" x14ac:dyDescent="0.15">
      <c r="L14" s="54" t="s">
        <v>35</v>
      </c>
      <c r="O14" s="54" t="s">
        <v>35</v>
      </c>
      <c r="Q14" s="68"/>
      <c r="S14" s="68"/>
      <c r="U14" s="68"/>
      <c r="W14" s="68"/>
    </row>
    <row r="15" spans="1:23" s="54" customFormat="1" x14ac:dyDescent="0.15">
      <c r="Q15" s="68"/>
      <c r="S15" s="68"/>
      <c r="U15" s="68"/>
      <c r="W15" s="68"/>
    </row>
    <row r="16" spans="1:23" s="54" customFormat="1" x14ac:dyDescent="0.15">
      <c r="Q16" s="68"/>
      <c r="S16" s="68"/>
      <c r="U16" s="68"/>
      <c r="W16" s="68"/>
    </row>
    <row r="18" spans="8:8" x14ac:dyDescent="0.15">
      <c r="H18" s="1" t="s">
        <v>35</v>
      </c>
    </row>
  </sheetData>
  <phoneticPr fontId="2" type="noConversion"/>
  <pageMargins left="0.79000000000000015" right="0.79000000000000015" top="0.98" bottom="0.98" header="0.49" footer="0.49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Spenden Grafik</vt:lpstr>
      <vt:lpstr>Spenden E-A-V</vt:lpstr>
      <vt:lpstr>Mitglieder V</vt:lpstr>
    </vt:vector>
  </TitlesOfParts>
  <Company>Raiffeisen Zentralbank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wzbmhm</dc:creator>
  <cp:lastModifiedBy>Ein Microsoft Office-Anwender</cp:lastModifiedBy>
  <cp:lastPrinted>2013-11-02T11:30:54Z</cp:lastPrinted>
  <dcterms:created xsi:type="dcterms:W3CDTF">2008-11-04T11:16:51Z</dcterms:created>
  <dcterms:modified xsi:type="dcterms:W3CDTF">2016-01-30T12:42:51Z</dcterms:modified>
</cp:coreProperties>
</file>